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mountainhousingcorpora-my.sharepoint.com/personal/greg_salyers_bigsandy_org/Documents/Documents/HB 189 FY 2025/"/>
    </mc:Choice>
  </mc:AlternateContent>
  <xr:revisionPtr revIDLastSave="0" documentId="8_{DDA6E8AD-537E-4944-A308-2DD939C0D61F}" xr6:coauthVersionLast="47" xr6:coauthVersionMax="47" xr10:uidLastSave="{00000000-0000-0000-0000-000000000000}"/>
  <bookViews>
    <workbookView xWindow="-108" yWindow="-108" windowWidth="23256" windowHeight="12456" tabRatio="456" xr2:uid="{00000000-000D-0000-FFFF-FFFF00000000}"/>
  </bookViews>
  <sheets>
    <sheet name="Cover Sheet" sheetId="10" r:id="rId1"/>
    <sheet name="Overall" sheetId="1" r:id="rId2"/>
    <sheet name="Carryover (Reserves)" sheetId="9" r:id="rId3"/>
  </sheets>
  <definedNames>
    <definedName name="_xlnm.Print_Area" localSheetId="1">Overall!$A$1:$AU$37</definedName>
    <definedName name="_xlnm.Print_Titles" localSheetId="1">Overall!$A:$A</definedName>
  </definedName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9" i="1" l="1"/>
  <c r="T11" i="1"/>
  <c r="T9" i="1"/>
  <c r="R9" i="1"/>
  <c r="R11" i="1"/>
  <c r="AT33" i="1" l="1"/>
  <c r="AM4" i="1"/>
  <c r="C9" i="9"/>
  <c r="C8" i="9"/>
  <c r="AU9" i="1"/>
  <c r="AT4" i="1"/>
  <c r="AT9" i="1"/>
  <c r="AS4" i="1"/>
  <c r="AS9" i="1"/>
  <c r="AR9" i="1"/>
  <c r="AQ9" i="1"/>
  <c r="AO9" i="1"/>
  <c r="AO5" i="1"/>
  <c r="AO6" i="1" s="1"/>
  <c r="AO13" i="1" s="1"/>
  <c r="AP9" i="1"/>
  <c r="AP6" i="1"/>
  <c r="AN4" i="1"/>
  <c r="AM9" i="1"/>
  <c r="AL11" i="1"/>
  <c r="AL7" i="1"/>
  <c r="AL5" i="1"/>
  <c r="AL6" i="1" s="1"/>
  <c r="AK11" i="1"/>
  <c r="AK7" i="1"/>
  <c r="AK4" i="1"/>
  <c r="AJ7" i="1"/>
  <c r="AI9" i="1"/>
  <c r="AG4" i="1"/>
  <c r="AE9" i="1"/>
  <c r="AD9" i="1"/>
  <c r="AC9" i="1"/>
  <c r="AA4" i="1"/>
  <c r="AP13" i="1" l="1"/>
  <c r="AB4" i="1" l="1"/>
  <c r="Z9" i="1"/>
  <c r="X6" i="1"/>
  <c r="X13" i="1" s="1"/>
  <c r="W9" i="1"/>
  <c r="X10" i="1" l="1"/>
  <c r="X12" i="1"/>
  <c r="V9" i="1" l="1"/>
  <c r="U11" i="1" l="1"/>
  <c r="S9" i="1"/>
  <c r="N11" i="1" l="1"/>
  <c r="N9" i="1"/>
  <c r="N7" i="1"/>
  <c r="N5" i="1"/>
  <c r="N4" i="1"/>
  <c r="L4" i="1" l="1"/>
  <c r="K33" i="1"/>
  <c r="G11" i="1" l="1"/>
  <c r="G7" i="1"/>
  <c r="G5" i="1"/>
  <c r="F4" i="1" l="1"/>
  <c r="F6" i="1" s="1"/>
  <c r="E4" i="1" l="1"/>
  <c r="E11" i="1" l="1"/>
  <c r="E7" i="1"/>
  <c r="E5" i="1"/>
  <c r="E6" i="1" s="1"/>
  <c r="E9" i="1"/>
  <c r="D9" i="1"/>
  <c r="D7" i="1"/>
  <c r="D5" i="1"/>
  <c r="D4" i="1"/>
  <c r="D6" i="1" l="1"/>
  <c r="C6" i="1"/>
  <c r="B4" i="1" l="1"/>
  <c r="B9" i="1" l="1"/>
  <c r="B7" i="1"/>
  <c r="B5" i="1"/>
  <c r="B6" i="1" s="1"/>
  <c r="AL13" i="1"/>
  <c r="W6" i="1" l="1"/>
  <c r="W12" i="1" s="1"/>
  <c r="W13" i="1" l="1"/>
  <c r="W10" i="1"/>
  <c r="AQ6" i="1" l="1"/>
  <c r="AQ13" i="1" s="1"/>
  <c r="AN6" i="1"/>
  <c r="AN13" i="1" s="1"/>
  <c r="AK6" i="1"/>
  <c r="AD4" i="1"/>
  <c r="AK13" i="1" l="1"/>
  <c r="AK8" i="1"/>
  <c r="O6" i="1" l="1"/>
  <c r="O13" i="1" s="1"/>
  <c r="O8" i="1" l="1"/>
  <c r="O10" i="1"/>
  <c r="O12" i="1"/>
  <c r="AB6" i="1" l="1"/>
  <c r="AB13" i="1" s="1"/>
  <c r="AB12" i="1" l="1"/>
  <c r="AB8" i="1"/>
  <c r="S6" i="1" l="1"/>
  <c r="S13" i="1" s="1"/>
  <c r="S8" i="1" l="1"/>
  <c r="S12" i="1"/>
  <c r="S10" i="1"/>
  <c r="C12" i="9" l="1"/>
  <c r="AU6" i="1" l="1"/>
  <c r="AT6" i="1"/>
  <c r="AM6" i="1"/>
  <c r="AM10" i="1" s="1"/>
  <c r="AF6" i="1"/>
  <c r="AG6" i="1"/>
  <c r="AJ6" i="1"/>
  <c r="AJ8" i="1" s="1"/>
  <c r="AI6" i="1"/>
  <c r="AI8" i="1" s="1"/>
  <c r="AH6" i="1"/>
  <c r="AU13" i="1" l="1"/>
  <c r="AU10" i="1"/>
  <c r="AH12" i="1"/>
  <c r="AH8" i="1"/>
  <c r="AK10" i="1"/>
  <c r="AU8" i="1"/>
  <c r="AT12" i="1"/>
  <c r="AT13" i="1"/>
  <c r="AT10" i="1"/>
  <c r="AT8" i="1"/>
  <c r="AM13" i="1"/>
  <c r="AU12" i="1"/>
  <c r="AG13" i="1"/>
  <c r="AJ13" i="1"/>
  <c r="AG10" i="1"/>
  <c r="AJ10" i="1"/>
  <c r="AI10" i="1"/>
  <c r="AG12" i="1"/>
  <c r="AH13" i="1"/>
  <c r="AF12" i="1"/>
  <c r="AF13" i="1"/>
  <c r="AI12" i="1"/>
  <c r="AI13" i="1"/>
  <c r="AG8" i="1"/>
  <c r="AH10" i="1"/>
  <c r="Z13" i="1" l="1"/>
  <c r="U6" i="1" l="1"/>
  <c r="L6" i="1"/>
  <c r="L13" i="1" s="1"/>
  <c r="J6" i="1"/>
  <c r="J12" i="1" s="1"/>
  <c r="AA6" i="1"/>
  <c r="Z12" i="1"/>
  <c r="Z8" i="1"/>
  <c r="AR6" i="1"/>
  <c r="G6" i="1"/>
  <c r="H6" i="1"/>
  <c r="I6" i="1"/>
  <c r="K6" i="1"/>
  <c r="M6" i="1"/>
  <c r="N6" i="1"/>
  <c r="N13" i="1" s="1"/>
  <c r="P6" i="1"/>
  <c r="Q6" i="1"/>
  <c r="R6" i="1"/>
  <c r="R13" i="1" s="1"/>
  <c r="T6" i="1"/>
  <c r="V6" i="1"/>
  <c r="V10" i="1" s="1"/>
  <c r="Y6" i="1"/>
  <c r="Y8" i="1" s="1"/>
  <c r="AC6" i="1"/>
  <c r="AC12" i="1" s="1"/>
  <c r="AD6" i="1"/>
  <c r="AD10" i="1" s="1"/>
  <c r="AE6" i="1"/>
  <c r="AE12" i="1" s="1"/>
  <c r="AS6" i="1"/>
  <c r="AS12" i="1" s="1"/>
  <c r="Y13" i="1" l="1"/>
  <c r="AC8" i="1"/>
  <c r="Y12" i="1"/>
  <c r="N8" i="1"/>
  <c r="J10" i="1"/>
  <c r="R10" i="1"/>
  <c r="R12" i="1"/>
  <c r="R8" i="1"/>
  <c r="I12" i="1"/>
  <c r="I13" i="1"/>
  <c r="AR13" i="1"/>
  <c r="V8" i="1"/>
  <c r="AR10" i="1"/>
  <c r="V12" i="1"/>
  <c r="U13" i="1"/>
  <c r="C13" i="1"/>
  <c r="AD13" i="1"/>
  <c r="AD8" i="1"/>
  <c r="P13" i="1"/>
  <c r="J8" i="1"/>
  <c r="AR8" i="1"/>
  <c r="AR12" i="1"/>
  <c r="M8" i="1"/>
  <c r="P8" i="1"/>
  <c r="AS13" i="1"/>
  <c r="AS8" i="1"/>
  <c r="AS10" i="1"/>
  <c r="AD12" i="1"/>
  <c r="Y10" i="1"/>
  <c r="AA12" i="1"/>
  <c r="AA13" i="1"/>
  <c r="AA10" i="1"/>
  <c r="AA8" i="1"/>
  <c r="P10" i="1"/>
  <c r="H8" i="1"/>
  <c r="P12" i="1"/>
  <c r="Z10" i="1"/>
  <c r="F12" i="1"/>
  <c r="AC13" i="1"/>
  <c r="Q13" i="1"/>
  <c r="Q10" i="1"/>
  <c r="Q12" i="1"/>
  <c r="Q8" i="1"/>
  <c r="C8" i="1"/>
  <c r="C10" i="1"/>
  <c r="C12" i="1"/>
  <c r="V13" i="1"/>
  <c r="N10" i="1"/>
  <c r="L10" i="1"/>
  <c r="L12" i="1"/>
  <c r="J13" i="1"/>
  <c r="I8" i="1"/>
  <c r="I10" i="1"/>
  <c r="E13" i="1"/>
  <c r="T8" i="1"/>
  <c r="AE13" i="1"/>
  <c r="B13" i="1"/>
  <c r="AE8" i="1"/>
  <c r="L8" i="1"/>
  <c r="AE10" i="1"/>
  <c r="T10" i="1"/>
  <c r="AC10" i="1"/>
  <c r="T12" i="1"/>
  <c r="M12" i="1"/>
  <c r="M10" i="1"/>
  <c r="M13" i="1"/>
  <c r="T13" i="1"/>
  <c r="F8" i="1"/>
  <c r="H10" i="1"/>
  <c r="H13" i="1"/>
  <c r="H12" i="1"/>
  <c r="B12" i="1"/>
  <c r="B8" i="1"/>
  <c r="E12" i="1"/>
  <c r="N12" i="1"/>
  <c r="F10" i="1"/>
  <c r="F13" i="1"/>
  <c r="E8" i="1"/>
  <c r="E10" i="1"/>
  <c r="K12" i="1"/>
  <c r="K10" i="1"/>
  <c r="K8" i="1"/>
  <c r="K13" i="1"/>
  <c r="G10" i="1"/>
  <c r="G12" i="1"/>
  <c r="G8" i="1"/>
  <c r="G13" i="1"/>
  <c r="D12" i="1"/>
  <c r="D8" i="1"/>
  <c r="D13" i="1"/>
  <c r="D10" i="1"/>
  <c r="B10" i="1"/>
</calcChain>
</file>

<file path=xl/sharedStrings.xml><?xml version="1.0" encoding="utf-8"?>
<sst xmlns="http://schemas.openxmlformats.org/spreadsheetml/2006/main" count="348" uniqueCount="189">
  <si>
    <t>Area Agency on Aging and Independent Living</t>
  </si>
  <si>
    <t>Community &amp; Economic Development</t>
  </si>
  <si>
    <t>Department for Community Based Services</t>
  </si>
  <si>
    <t>Other programs</t>
  </si>
  <si>
    <t>Title III B</t>
  </si>
  <si>
    <t>Title III B Omb</t>
  </si>
  <si>
    <t>Title III C1</t>
  </si>
  <si>
    <t>Title III C2</t>
  </si>
  <si>
    <t>Title III D</t>
  </si>
  <si>
    <t>Title III E</t>
  </si>
  <si>
    <t>Title VII Elder Abuse</t>
  </si>
  <si>
    <t>Title VII Ombudsman</t>
  </si>
  <si>
    <t>NSIP 10/1 to 6/30</t>
  </si>
  <si>
    <t>State Long Term Care Ombudsman</t>
  </si>
  <si>
    <t>Homecare</t>
  </si>
  <si>
    <t>SHIP</t>
  </si>
  <si>
    <t>Joint Funding Administration  - EDA</t>
  </si>
  <si>
    <t>Joint Funding Administration - CDBG</t>
  </si>
  <si>
    <t>Appalachian Regional Commission</t>
  </si>
  <si>
    <t>Local Road Updates</t>
  </si>
  <si>
    <t>Regional Transportation</t>
  </si>
  <si>
    <t>Water Management Resources</t>
  </si>
  <si>
    <t>AML eKAMI prison</t>
  </si>
  <si>
    <t>AML Martin County Raw Water</t>
  </si>
  <si>
    <t>USCOE Martin County Raw Water</t>
  </si>
  <si>
    <t>AML Martin County Systems Improvement</t>
  </si>
  <si>
    <t>AML Paintsville/Johnson Sewer</t>
  </si>
  <si>
    <t>Project department</t>
  </si>
  <si>
    <t>Kentucky Works</t>
  </si>
  <si>
    <t>Community Collaboration for Children</t>
  </si>
  <si>
    <t>Local Initatives</t>
  </si>
  <si>
    <t>Grant Award</t>
  </si>
  <si>
    <t>Local Funds (Match or applied)</t>
  </si>
  <si>
    <t>Total Grant Funds</t>
  </si>
  <si>
    <t>Administrative Costs</t>
  </si>
  <si>
    <t>% of Admin Cost</t>
  </si>
  <si>
    <t>Direct Expenditures</t>
  </si>
  <si>
    <t>% of Direct Expenditures</t>
  </si>
  <si>
    <t>Indirect Expenditures</t>
  </si>
  <si>
    <t>% of Indirect Expenditures</t>
  </si>
  <si>
    <t>Unexpended Funds</t>
  </si>
  <si>
    <t>Explanation of Unexpended Funds</t>
  </si>
  <si>
    <t>n/a</t>
  </si>
  <si>
    <t>runs on federal fiscal year</t>
  </si>
  <si>
    <t>small amount remaining</t>
  </si>
  <si>
    <t>Multi year obligation</t>
  </si>
  <si>
    <t>List of Direct Services provided by ADD</t>
  </si>
  <si>
    <t>Services provided to residents of long term care facilities to assist them to maintain health, safety and welfare.  Complaint investigation and resolution; work with family and resident councils; provide training to resident and facility staff; provide public education and outreach to identify and prevent elder abuse, neglect and exploitation</t>
  </si>
  <si>
    <t xml:space="preserve">Services for caregivers and grandparents raising grandchildren - Information, Access, Support Groups, Training, Respite, Supplemental Services </t>
  </si>
  <si>
    <t>provides intake and referral. People of all ages, incomes and disabilities can access
information on the full range of long-term support options.</t>
  </si>
  <si>
    <t>Assessment/Reassessment,Case Management, Homemaking, Personal Care, Respite, Chore, Escort</t>
  </si>
  <si>
    <t>program to provide information and assistance to elderly and disabled Kentuckians in reference to Medicare benefits, health and prescription drug insurance options, and other issues pertaining to public benefits</t>
  </si>
  <si>
    <t>provides enhanced outreach to eligible Medicare beneficiaries regarding their benefits and enhanced outreach to individuals who may be eligible for the LIS and Medicare Part D</t>
  </si>
  <si>
    <t>AAA provide enhanced outreach to eligible Mediare beneficiaries regarding their benefits and enhanced outreach to individuals who may be eligible for LIS; MSP; and Medicare Part D</t>
  </si>
  <si>
    <t>program to provide outreach to individuals regarding the benefits available under Medicare Part D and MSP outreach and Outreach activities aimed at prevening disease and promoting wellness</t>
  </si>
  <si>
    <t>Submission of ED related grants submitted, Develop and implement Comprehensive Economic Development Strategy, advise DLG/ED cabinet of job creation/investment, provide assistance to regional industrial authority, technical assistance to entities and projects</t>
  </si>
  <si>
    <t>Implementing the KY CDBG program by providing technical assistance to local governments, administration of projects</t>
  </si>
  <si>
    <t>community project grant applications submitted, technical assistance for  projects, management assistance for projects. Implement and maintain a program focused on investment providing basic community services, upgrading quality of life, spur economic development and  improve economic viability of region</t>
  </si>
  <si>
    <t>Maintain and collection road centerline data for region</t>
  </si>
  <si>
    <t>Operate KYTC regional transportation planning program, coordinate regional transportation committee</t>
  </si>
  <si>
    <t>Provide wastewater planner for region, coordinate regional water management council, maintain water resource information system</t>
  </si>
  <si>
    <t>Project administration for eKAMI prison reform project in West Liberty, KY</t>
  </si>
  <si>
    <t>Project administration for Martin Co Water Raw Water intake project</t>
  </si>
  <si>
    <t>Project administration for Martin Co Raw Water intake project</t>
  </si>
  <si>
    <t>Project administration for Martin Co Water Systems Improvement project</t>
  </si>
  <si>
    <t>Project administration for Paintsville Utilities sewer expansion project</t>
  </si>
  <si>
    <t>Administration for various projects for local governments in BSADD region</t>
  </si>
  <si>
    <t>Job development, placement &amp; training, preemployment counseling &amp; supportive services, wage subsidy for employers, employment retention, marketing assistance programs, job readiness training</t>
  </si>
  <si>
    <t>program to support community based efforts, develop, operate, expand and enhance initiatives aimed at the prevention of child abuse and/or neglect.</t>
  </si>
  <si>
    <t>Direct Service Providers/Contractors Contracted by ADD and services provided</t>
  </si>
  <si>
    <t>Floyd County SCC, Johnson Co. SCC, Magoffin County SCC, Martin County SCC, Pike County SCC - Education, Health Promotion, Information and Assistance, Outreach, Recreation, Telephone Reassurance, Transportation Appalachian Research &amp; Defense Fund- Legal Services</t>
  </si>
  <si>
    <t>Floyd County SCC, Johnson Co. SCC, Magoffin County SCC, Martin County SCC, Pike County SCC - congreagate meals, nutrition counseling, nutrition education</t>
  </si>
  <si>
    <t>Floyd County SCC, Johnson Co. SCC, Magoffin County SCC, Martin County SCC, Pike County SCC - Home Delivered Meals, nutrition counseling, nutrition education</t>
  </si>
  <si>
    <t>Floyd County SCC, Johnson Co. SCC, Magoffin County SCC, Martin County SCC, Pike County SCC - Arthritis Exercise, Bingocize, Matter of Balance, Silver Sneakers, Walk with Ease - self led</t>
  </si>
  <si>
    <t>Floyd County SCC, Johnson Co. SCC, Magoffin County SCC, Martin County SCC, Pike County SCC - Education, Health Promotion, Information and Assistance, Outreach, Recreation, Telephone Reassurance, Transportation</t>
  </si>
  <si>
    <t>Bell Engineering - Engineering services</t>
  </si>
  <si>
    <t>Career Center Operators</t>
  </si>
  <si>
    <t>BSADD</t>
  </si>
  <si>
    <t>Training Service Providers and services provided</t>
  </si>
  <si>
    <t>Eligible Persons</t>
  </si>
  <si>
    <t>Program serves entire BSADD Region</t>
  </si>
  <si>
    <t>Program serves entire BSADD region</t>
  </si>
  <si>
    <t>Program serves entire Martin County area</t>
  </si>
  <si>
    <t>Program serves entire Johnson County area</t>
  </si>
  <si>
    <t># Persons Served</t>
  </si>
  <si>
    <t># People on Waiting List</t>
  </si>
  <si>
    <t>Performance Measures</t>
  </si>
  <si>
    <t>Medicaid regulations</t>
  </si>
  <si>
    <t>Title IIIB Omb</t>
  </si>
  <si>
    <t>Title III Long Term Care Ombudsman</t>
  </si>
  <si>
    <t>Congregate Meals</t>
  </si>
  <si>
    <t>Home Delivered Meals</t>
  </si>
  <si>
    <t>Disease Prevention</t>
  </si>
  <si>
    <t>Family Caregiver Program</t>
  </si>
  <si>
    <t>NSIP</t>
  </si>
  <si>
    <t>Nutrition Services Incentive Program</t>
  </si>
  <si>
    <t>State Health Insurance Assistance Program</t>
  </si>
  <si>
    <t>MIPPA SHIP</t>
  </si>
  <si>
    <t>Medicare Improvements for Patients and Providers Act State Health Insurance Assistance Program</t>
  </si>
  <si>
    <t>MIPPA AAA</t>
  </si>
  <si>
    <t>Medicare Improvements for Patients and Providers Act State Agencies on Aging</t>
  </si>
  <si>
    <t>MIPPA ADRC</t>
  </si>
  <si>
    <t>Medicare Improvements for Patients and Providers Act Aging and Disability Resource Center</t>
  </si>
  <si>
    <t>JFA - EDA</t>
  </si>
  <si>
    <t>Joint Funding Administration - Economic Development Administration</t>
  </si>
  <si>
    <t>JFA - CDBG</t>
  </si>
  <si>
    <t>Joint Funding Administration - Community Development Block Grants</t>
  </si>
  <si>
    <t>JFA - ARC</t>
  </si>
  <si>
    <t>Joint Funding Administration - Appalachian Regional Commission</t>
  </si>
  <si>
    <t>AML</t>
  </si>
  <si>
    <t>Abandoned Mine Lands</t>
  </si>
  <si>
    <t>USCOE</t>
  </si>
  <si>
    <t>US Army Corps of Engineers</t>
  </si>
  <si>
    <t xml:space="preserve">PDS </t>
  </si>
  <si>
    <t>Participant Directed Options</t>
  </si>
  <si>
    <t>Big Sandy Area Development District</t>
  </si>
  <si>
    <t>Source of Funds:</t>
  </si>
  <si>
    <t>Amount</t>
  </si>
  <si>
    <t>Explanation as to why funds are being carried forward:</t>
  </si>
  <si>
    <t>DAIL contracts</t>
  </si>
  <si>
    <t>Surplus from Performance Based Contracts</t>
  </si>
  <si>
    <t>MIPPA SHIP 9/1-6/30</t>
  </si>
  <si>
    <t>per request - does not include pension liability adjustment shown in audit financials</t>
  </si>
  <si>
    <t>JFA admin</t>
  </si>
  <si>
    <t>complete elements 140 &amp; 150 of the JFA handbook for DLG</t>
  </si>
  <si>
    <t>MIPPA AAA 9/1-6/30</t>
  </si>
  <si>
    <t>MIPPA ADRC 9/1-6/30</t>
  </si>
  <si>
    <t>.</t>
  </si>
  <si>
    <t>KYCG</t>
  </si>
  <si>
    <t>Assistance, information, supplemental services to grandparent caregivers of children</t>
  </si>
  <si>
    <t>ARC READY</t>
  </si>
  <si>
    <t>BRIC</t>
  </si>
  <si>
    <t>PDS is a fee for service program, excess income used to improve financial stability of the ADD and expand services</t>
  </si>
  <si>
    <t>INNU</t>
  </si>
  <si>
    <t>Program to provide ASIST training to staff and community</t>
  </si>
  <si>
    <t>unspent funds transfer to ADF for betterment of region</t>
  </si>
  <si>
    <t>Identify criticial facility energy needs and infrastructure for OEP</t>
  </si>
  <si>
    <t>Assist local governments in applying for federal grants</t>
  </si>
  <si>
    <t>Aging/Disability Resource Center</t>
  </si>
  <si>
    <t>Other AML</t>
  </si>
  <si>
    <t>Project administration for various AML grants</t>
  </si>
  <si>
    <t>Project administration for Big Sandy Regional Industrial Authority</t>
  </si>
  <si>
    <t>Bell Engineering - Engineering Services PACE Contracting - Construction services</t>
  </si>
  <si>
    <t>Pace Contracting - Construction Services</t>
  </si>
  <si>
    <t>As listed in MOA/Contract</t>
  </si>
  <si>
    <t>Building Resiliant Infrastructure and Communities</t>
  </si>
  <si>
    <t>Innovations in Nutrition</t>
  </si>
  <si>
    <t>Kentucky Caregiver Program</t>
  </si>
  <si>
    <t>Supportive Services</t>
  </si>
  <si>
    <t>Title III C2/ESMP</t>
  </si>
  <si>
    <t>ESMP</t>
  </si>
  <si>
    <t>Expanded Senior Meal Program</t>
  </si>
  <si>
    <t>ADRC for region</t>
  </si>
  <si>
    <t>NSIP 7/1 to 9/30/24</t>
  </si>
  <si>
    <t>year end closing adjustment</t>
  </si>
  <si>
    <t>MIPPA AAA 7/1 to 8/31/24</t>
  </si>
  <si>
    <t>MIPPA SHIP 7/1 to 8/31/24</t>
  </si>
  <si>
    <t>MIPPA ADRC 7/1 to 8/30/24</t>
  </si>
  <si>
    <t>Disaster Planning</t>
  </si>
  <si>
    <t>program to assist senior citizens centers with planning for disasters and continuity of services</t>
  </si>
  <si>
    <t>admin to carry forward to services in the next fiscal year</t>
  </si>
  <si>
    <t>$1024 going to ADF for betterment of region</t>
  </si>
  <si>
    <t>staffing vacancy 1st part of year</t>
  </si>
  <si>
    <t>Apple AML/ARC</t>
  </si>
  <si>
    <t>EPA Brownfield</t>
  </si>
  <si>
    <t>multi year obligation</t>
  </si>
  <si>
    <t>ARC FIRE</t>
  </si>
  <si>
    <t>Assist local small businesses in disaster recovery and growth opportunities</t>
  </si>
  <si>
    <t>Kentucky Educational Development Corp (KEDC) and Hillcrest-Bruce Boyd Co. Works - short term job training</t>
  </si>
  <si>
    <t>BSADD operates two career type training centers In Carter and Boyd Co which provides: employment readiness classes, job development, job placement, employment counseling, short term job training, pre employment supportive services, adult education, marketing of services available, wage subsidy</t>
  </si>
  <si>
    <t>Total amount of Reserves for FY 2025</t>
  </si>
  <si>
    <t>Owed back to DAIL on cost reimbursement contracts</t>
  </si>
  <si>
    <t>Performance based contracts are fee for service and any funds not utilized are carried forward for future services and financial stability</t>
  </si>
  <si>
    <t xml:space="preserve">Any funds not utilized are carried forward for future services and financial stability. Pension adjustment not included per request. </t>
  </si>
  <si>
    <t>carry over from ARPA spent first, remainder will carry forward until next fiscal year</t>
  </si>
  <si>
    <t>Runs on 9/1-8/31 fiscal year, carries into new fiscal year</t>
  </si>
  <si>
    <t>cost reimbursement, small amount remaining</t>
  </si>
  <si>
    <t>Funding agency would not pay invoices. Cost reimbursement contract.</t>
  </si>
  <si>
    <t>FIRE</t>
  </si>
  <si>
    <t>Fueling Innovation, Revitalization, and Entrepreneurship</t>
  </si>
  <si>
    <t>Financial data taken from BSADD FY 2025 draft audit report, pension adjustment and local funding not handled by the ADD not included per request</t>
  </si>
  <si>
    <t>cost reimbursement contract, small amount remaining</t>
  </si>
  <si>
    <t>ARC federal funds based on calendar year, unspent carries to next fiscal year</t>
  </si>
  <si>
    <t>Operate Medicaid Waiver program for Big Sandy region, operate Veterans VA program for Big Sandy region in partnership with Pennyrile ADD</t>
  </si>
  <si>
    <t>Assist local entities with EPA brownfield remediation grants</t>
  </si>
  <si>
    <t>Modernization of KTAP and KWP that substantially increased KTAP benefits, supportive service amounts, RAP, and WIN payments. A portion of this contract (SNAP) runs on the federal fiscal year and carries into SFY 2026.</t>
  </si>
  <si>
    <t>Floyd County SCC, Johnson Co. SCC, Magoffin County SCC, Martin County SCC, Pike County SCC - Evidence based health promotion programs for seniors</t>
  </si>
  <si>
    <t>Floyd County SCC, Johnson Co. SCC, Magoffin County SCC, Martin County SCC, Pike County SCC - congregate meals, home delivered meals</t>
  </si>
  <si>
    <t>Medicaid PDS/Veterans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</si>
</sst>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44" fontId="0" fillId="0" borderId="1" xfId="1" applyFont="1" applyBorder="1" applyAlignment="1">
      <alignment horizontal="center" wrapText="1"/>
    </xf>
    <xf numFmtId="0" fontId="0" fillId="0" borderId="1" xfId="0" applyBorder="1" applyAlignment="1">
      <alignment wrapText="1"/>
    </xf>
    <xf numFmtId="44" fontId="0" fillId="0" borderId="1" xfId="1" applyFont="1" applyBorder="1"/>
    <xf numFmtId="0" fontId="0" fillId="0" borderId="1" xfId="0" applyBorder="1"/>
    <xf numFmtId="9" fontId="0" fillId="0" borderId="1" xfId="2" applyFon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5" xfId="0" applyBorder="1"/>
    <xf numFmtId="9" fontId="0" fillId="0" borderId="1" xfId="2" applyFont="1" applyBorder="1" applyAlignment="1">
      <alignment wrapText="1"/>
    </xf>
    <xf numFmtId="44" fontId="0" fillId="0" borderId="1" xfId="1" applyFont="1" applyBorder="1" applyAlignment="1">
      <alignment horizontal="left" wrapText="1"/>
    </xf>
    <xf numFmtId="44" fontId="0" fillId="0" borderId="1" xfId="1" applyFont="1" applyBorder="1" applyAlignment="1">
      <alignment wrapText="1"/>
    </xf>
    <xf numFmtId="0" fontId="0" fillId="0" borderId="7" xfId="0" applyBorder="1" applyAlignment="1">
      <alignment wrapText="1"/>
    </xf>
    <xf numFmtId="0" fontId="0" fillId="2" borderId="8" xfId="0" applyFill="1" applyBorder="1"/>
    <xf numFmtId="0" fontId="0" fillId="2" borderId="9" xfId="0" applyFill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4" xfId="0" applyBorder="1"/>
    <xf numFmtId="44" fontId="0" fillId="0" borderId="1" xfId="1" quotePrefix="1" applyFont="1" applyBorder="1" applyAlignment="1">
      <alignment horizontal="center" wrapText="1"/>
    </xf>
    <xf numFmtId="0" fontId="0" fillId="3" borderId="9" xfId="0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4" fontId="0" fillId="0" borderId="1" xfId="1" applyFont="1" applyFill="1" applyBorder="1" applyAlignment="1">
      <alignment horizontal="center" wrapText="1"/>
    </xf>
    <xf numFmtId="164" fontId="0" fillId="0" borderId="1" xfId="1" applyNumberFormat="1" applyFont="1" applyBorder="1" applyAlignment="1">
      <alignment horizontal="center" wrapText="1"/>
    </xf>
    <xf numFmtId="164" fontId="0" fillId="0" borderId="1" xfId="1" applyNumberFormat="1" applyFont="1" applyBorder="1"/>
    <xf numFmtId="164" fontId="0" fillId="0" borderId="1" xfId="2" applyNumberFormat="1" applyFont="1" applyBorder="1"/>
    <xf numFmtId="44" fontId="0" fillId="0" borderId="1" xfId="1" applyFont="1" applyFill="1" applyBorder="1"/>
    <xf numFmtId="9" fontId="0" fillId="0" borderId="1" xfId="2" applyFont="1" applyFill="1" applyBorder="1"/>
    <xf numFmtId="0" fontId="0" fillId="5" borderId="0" xfId="0" applyFill="1"/>
    <xf numFmtId="0" fontId="0" fillId="5" borderId="5" xfId="0" applyFill="1" applyBorder="1" applyAlignment="1">
      <alignment horizontal="center" wrapText="1"/>
    </xf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5" borderId="3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10" xfId="0" applyFill="1" applyBorder="1"/>
    <xf numFmtId="0" fontId="0" fillId="5" borderId="11" xfId="0" applyFill="1" applyBorder="1"/>
    <xf numFmtId="0" fontId="0" fillId="5" borderId="13" xfId="0" applyFill="1" applyBorder="1"/>
    <xf numFmtId="0" fontId="5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6" xfId="0" applyFont="1" applyBorder="1"/>
    <xf numFmtId="8" fontId="5" fillId="0" borderId="6" xfId="0" applyNumberFormat="1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3" xfId="0" applyFont="1" applyBorder="1"/>
    <xf numFmtId="0" fontId="5" fillId="0" borderId="5" xfId="0" applyFont="1" applyBorder="1"/>
    <xf numFmtId="8" fontId="5" fillId="0" borderId="1" xfId="0" applyNumberFormat="1" applyFont="1" applyBorder="1"/>
    <xf numFmtId="8" fontId="5" fillId="0" borderId="2" xfId="0" applyNumberFormat="1" applyFont="1" applyBorder="1"/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8" fontId="5" fillId="0" borderId="3" xfId="0" applyNumberFormat="1" applyFont="1" applyBorder="1"/>
    <xf numFmtId="8" fontId="5" fillId="0" borderId="5" xfId="0" applyNumberFormat="1" applyFont="1" applyBorder="1"/>
    <xf numFmtId="0" fontId="5" fillId="0" borderId="3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1" xfId="1" applyNumberFormat="1" applyFont="1" applyFill="1" applyBorder="1" applyAlignment="1">
      <alignment horizontal="center" wrapText="1"/>
    </xf>
    <xf numFmtId="164" fontId="0" fillId="0" borderId="1" xfId="1" applyNumberFormat="1" applyFont="1" applyFill="1" applyBorder="1"/>
    <xf numFmtId="0" fontId="0" fillId="0" borderId="1" xfId="2" applyNumberFormat="1" applyFont="1" applyFill="1" applyBorder="1"/>
    <xf numFmtId="164" fontId="0" fillId="0" borderId="1" xfId="2" applyNumberFormat="1" applyFont="1" applyFill="1" applyBorder="1"/>
    <xf numFmtId="0" fontId="0" fillId="0" borderId="1" xfId="1" applyNumberFormat="1" applyFont="1" applyFill="1" applyBorder="1"/>
    <xf numFmtId="44" fontId="1" fillId="0" borderId="1" xfId="1" applyFont="1" applyFill="1" applyBorder="1"/>
    <xf numFmtId="9" fontId="1" fillId="0" borderId="1" xfId="2" applyFont="1" applyFill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15" xfId="0" applyFont="1" applyBorder="1"/>
    <xf numFmtId="0" fontId="0" fillId="6" borderId="8" xfId="0" applyFill="1" applyBorder="1" applyAlignment="1">
      <alignment horizontal="center"/>
    </xf>
    <xf numFmtId="0" fontId="0" fillId="6" borderId="16" xfId="0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35F27-E385-4BC1-801D-FCA1A24D66EF}">
  <dimension ref="A1:H24"/>
  <sheetViews>
    <sheetView tabSelected="1" workbookViewId="0">
      <selection activeCell="K20" sqref="K20"/>
    </sheetView>
  </sheetViews>
  <sheetFormatPr defaultRowHeight="14.4" x14ac:dyDescent="0.3"/>
  <cols>
    <col min="1" max="1" width="14.6640625" customWidth="1"/>
  </cols>
  <sheetData>
    <row r="1" spans="1:8" x14ac:dyDescent="0.3">
      <c r="A1" s="49" t="s">
        <v>180</v>
      </c>
      <c r="B1" s="48"/>
      <c r="C1" s="48"/>
      <c r="D1" s="48"/>
      <c r="E1" s="48"/>
      <c r="F1" s="48"/>
      <c r="G1" s="48"/>
      <c r="H1" s="48"/>
    </row>
    <row r="2" spans="1:8" x14ac:dyDescent="0.3">
      <c r="A2" s="48"/>
      <c r="B2" s="48"/>
      <c r="C2" s="48"/>
      <c r="D2" s="48"/>
      <c r="E2" s="48"/>
      <c r="F2" s="48"/>
      <c r="G2" s="48"/>
      <c r="H2" s="48"/>
    </row>
    <row r="3" spans="1:8" x14ac:dyDescent="0.3">
      <c r="A3" s="48" t="s">
        <v>4</v>
      </c>
      <c r="B3" s="48" t="s">
        <v>148</v>
      </c>
      <c r="C3" s="48"/>
      <c r="D3" s="48"/>
      <c r="E3" s="48"/>
      <c r="F3" s="48"/>
      <c r="G3" s="48"/>
      <c r="H3" s="48"/>
    </row>
    <row r="4" spans="1:8" x14ac:dyDescent="0.3">
      <c r="A4" s="48" t="s">
        <v>88</v>
      </c>
      <c r="B4" s="48" t="s">
        <v>89</v>
      </c>
      <c r="C4" s="48"/>
      <c r="D4" s="48"/>
      <c r="E4" s="48"/>
      <c r="F4" s="48"/>
      <c r="G4" s="48"/>
      <c r="H4" s="48"/>
    </row>
    <row r="5" spans="1:8" x14ac:dyDescent="0.3">
      <c r="A5" s="48" t="s">
        <v>6</v>
      </c>
      <c r="B5" s="48" t="s">
        <v>90</v>
      </c>
      <c r="C5" s="48"/>
      <c r="D5" s="48"/>
      <c r="E5" s="48"/>
      <c r="F5" s="48"/>
      <c r="G5" s="48"/>
      <c r="H5" s="48"/>
    </row>
    <row r="6" spans="1:8" x14ac:dyDescent="0.3">
      <c r="A6" s="48" t="s">
        <v>7</v>
      </c>
      <c r="B6" s="48" t="s">
        <v>91</v>
      </c>
      <c r="C6" s="48"/>
      <c r="D6" s="48"/>
      <c r="E6" s="48"/>
      <c r="F6" s="48"/>
      <c r="G6" s="48"/>
      <c r="H6" s="48"/>
    </row>
    <row r="7" spans="1:8" x14ac:dyDescent="0.3">
      <c r="A7" s="48" t="s">
        <v>150</v>
      </c>
      <c r="B7" s="48" t="s">
        <v>151</v>
      </c>
      <c r="C7" s="48"/>
      <c r="D7" s="48"/>
      <c r="E7" s="48"/>
      <c r="F7" s="48"/>
      <c r="G7" s="48"/>
      <c r="H7" s="48"/>
    </row>
    <row r="8" spans="1:8" x14ac:dyDescent="0.3">
      <c r="A8" s="48" t="s">
        <v>8</v>
      </c>
      <c r="B8" s="48" t="s">
        <v>92</v>
      </c>
      <c r="C8" s="48"/>
      <c r="D8" s="48"/>
      <c r="E8" s="48"/>
      <c r="F8" s="48"/>
      <c r="G8" s="48"/>
      <c r="H8" s="48"/>
    </row>
    <row r="9" spans="1:8" x14ac:dyDescent="0.3">
      <c r="A9" s="48" t="s">
        <v>9</v>
      </c>
      <c r="B9" s="48" t="s">
        <v>93</v>
      </c>
      <c r="C9" s="48"/>
      <c r="D9" s="48"/>
      <c r="E9" s="48"/>
      <c r="F9" s="48"/>
      <c r="G9" s="48"/>
      <c r="H9" s="48"/>
    </row>
    <row r="10" spans="1:8" x14ac:dyDescent="0.3">
      <c r="A10" s="48" t="s">
        <v>128</v>
      </c>
      <c r="B10" s="48" t="s">
        <v>147</v>
      </c>
      <c r="C10" s="48"/>
      <c r="D10" s="48"/>
      <c r="E10" s="48"/>
      <c r="F10" s="48"/>
      <c r="G10" s="48"/>
      <c r="H10" s="48"/>
    </row>
    <row r="11" spans="1:8" x14ac:dyDescent="0.3">
      <c r="A11" s="48" t="s">
        <v>94</v>
      </c>
      <c r="B11" s="48" t="s">
        <v>95</v>
      </c>
      <c r="C11" s="48"/>
      <c r="D11" s="48"/>
      <c r="E11" s="48"/>
      <c r="F11" s="48"/>
      <c r="G11" s="48"/>
      <c r="H11" s="48"/>
    </row>
    <row r="12" spans="1:8" x14ac:dyDescent="0.3">
      <c r="A12" s="48" t="s">
        <v>15</v>
      </c>
      <c r="B12" s="48" t="s">
        <v>96</v>
      </c>
      <c r="C12" s="48"/>
      <c r="D12" s="48"/>
      <c r="E12" s="48"/>
      <c r="F12" s="48"/>
      <c r="G12" s="48"/>
      <c r="H12" s="48"/>
    </row>
    <row r="13" spans="1:8" x14ac:dyDescent="0.3">
      <c r="A13" s="48" t="s">
        <v>97</v>
      </c>
      <c r="B13" s="48" t="s">
        <v>98</v>
      </c>
      <c r="C13" s="48"/>
      <c r="D13" s="48"/>
      <c r="E13" s="48"/>
      <c r="F13" s="48"/>
      <c r="G13" s="48"/>
      <c r="H13" s="48"/>
    </row>
    <row r="14" spans="1:8" x14ac:dyDescent="0.3">
      <c r="A14" s="48" t="s">
        <v>99</v>
      </c>
      <c r="B14" s="48" t="s">
        <v>100</v>
      </c>
      <c r="C14" s="48"/>
      <c r="D14" s="48"/>
      <c r="E14" s="48"/>
      <c r="F14" s="48"/>
      <c r="G14" s="48"/>
      <c r="H14" s="48"/>
    </row>
    <row r="15" spans="1:8" x14ac:dyDescent="0.3">
      <c r="A15" s="48" t="s">
        <v>101</v>
      </c>
      <c r="B15" s="48" t="s">
        <v>102</v>
      </c>
      <c r="C15" s="48"/>
      <c r="D15" s="48"/>
      <c r="E15" s="48"/>
      <c r="F15" s="48"/>
      <c r="G15" s="48"/>
      <c r="H15" s="48"/>
    </row>
    <row r="16" spans="1:8" x14ac:dyDescent="0.3">
      <c r="A16" s="48" t="s">
        <v>133</v>
      </c>
      <c r="B16" s="48" t="s">
        <v>146</v>
      </c>
      <c r="E16" s="48"/>
      <c r="F16" s="48"/>
      <c r="G16" s="48"/>
      <c r="H16" s="48"/>
    </row>
    <row r="17" spans="1:8" x14ac:dyDescent="0.3">
      <c r="A17" s="48" t="s">
        <v>103</v>
      </c>
      <c r="B17" s="48" t="s">
        <v>104</v>
      </c>
      <c r="C17" s="48"/>
      <c r="D17" s="48"/>
      <c r="E17" s="48"/>
      <c r="F17" s="48"/>
      <c r="G17" s="48"/>
      <c r="H17" s="48"/>
    </row>
    <row r="18" spans="1:8" x14ac:dyDescent="0.3">
      <c r="A18" s="48" t="s">
        <v>105</v>
      </c>
      <c r="B18" s="48" t="s">
        <v>106</v>
      </c>
      <c r="C18" s="48"/>
      <c r="D18" s="48"/>
      <c r="E18" s="48"/>
      <c r="F18" s="48"/>
      <c r="G18" s="48"/>
      <c r="H18" s="48"/>
    </row>
    <row r="19" spans="1:8" x14ac:dyDescent="0.3">
      <c r="A19" s="48" t="s">
        <v>107</v>
      </c>
      <c r="B19" s="48" t="s">
        <v>108</v>
      </c>
      <c r="C19" s="48"/>
      <c r="D19" s="48"/>
      <c r="E19" s="48"/>
      <c r="F19" s="48"/>
      <c r="G19" s="48"/>
      <c r="H19" s="48"/>
    </row>
    <row r="20" spans="1:8" x14ac:dyDescent="0.3">
      <c r="A20" s="48" t="s">
        <v>109</v>
      </c>
      <c r="B20" s="48" t="s">
        <v>110</v>
      </c>
      <c r="C20" s="48"/>
      <c r="D20" s="48"/>
      <c r="E20" s="48"/>
      <c r="F20" s="48"/>
      <c r="G20" s="48"/>
      <c r="H20" s="48"/>
    </row>
    <row r="21" spans="1:8" x14ac:dyDescent="0.3">
      <c r="A21" s="48" t="s">
        <v>111</v>
      </c>
      <c r="B21" s="48" t="s">
        <v>112</v>
      </c>
      <c r="C21" s="48"/>
      <c r="D21" s="48"/>
      <c r="E21" s="48"/>
      <c r="F21" s="48"/>
      <c r="G21" s="48"/>
      <c r="H21" s="48"/>
    </row>
    <row r="22" spans="1:8" x14ac:dyDescent="0.3">
      <c r="A22" s="48" t="s">
        <v>113</v>
      </c>
      <c r="B22" s="48" t="s">
        <v>114</v>
      </c>
      <c r="C22" s="48"/>
      <c r="D22" s="48"/>
      <c r="E22" s="48"/>
      <c r="F22" s="48"/>
      <c r="G22" s="48"/>
      <c r="H22" s="48"/>
    </row>
    <row r="23" spans="1:8" x14ac:dyDescent="0.3">
      <c r="A23" s="48" t="s">
        <v>131</v>
      </c>
      <c r="B23" s="48" t="s">
        <v>145</v>
      </c>
    </row>
    <row r="24" spans="1:8" x14ac:dyDescent="0.3">
      <c r="A24" s="48" t="s">
        <v>178</v>
      </c>
      <c r="B24" s="48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7"/>
  <sheetViews>
    <sheetView view="pageBreakPreview" zoomScale="70" zoomScaleNormal="70" zoomScaleSheetLayoutView="70" workbookViewId="0">
      <selection activeCell="AT4" sqref="AT4"/>
    </sheetView>
  </sheetViews>
  <sheetFormatPr defaultColWidth="8.88671875" defaultRowHeight="14.4" x14ac:dyDescent="0.3"/>
  <cols>
    <col min="1" max="1" width="28.6640625" style="1" customWidth="1"/>
    <col min="2" max="2" width="28.6640625" customWidth="1"/>
    <col min="3" max="3" width="34.5546875" customWidth="1"/>
    <col min="4" max="4" width="32.33203125" customWidth="1"/>
    <col min="5" max="5" width="30.109375" customWidth="1"/>
    <col min="6" max="6" width="28.33203125" customWidth="1"/>
    <col min="7" max="7" width="27.5546875" customWidth="1"/>
    <col min="8" max="8" width="32.33203125" customWidth="1"/>
    <col min="9" max="9" width="31.88671875" customWidth="1"/>
    <col min="10" max="10" width="25.6640625" customWidth="1"/>
    <col min="11" max="11" width="27" customWidth="1"/>
    <col min="12" max="13" width="25.6640625" customWidth="1"/>
    <col min="14" max="15" width="28.33203125" customWidth="1"/>
    <col min="16" max="31" width="25.6640625" customWidth="1"/>
    <col min="32" max="32" width="25.6640625" style="39" customWidth="1"/>
    <col min="33" max="43" width="25.6640625" customWidth="1"/>
    <col min="44" max="44" width="35.6640625" customWidth="1"/>
    <col min="45" max="45" width="21.33203125" customWidth="1"/>
    <col min="46" max="46" width="23" customWidth="1"/>
    <col min="47" max="47" width="15" customWidth="1"/>
  </cols>
  <sheetData>
    <row r="1" spans="1:47" ht="15" thickBot="1" x14ac:dyDescent="0.35"/>
    <row r="2" spans="1:47" ht="15" thickBot="1" x14ac:dyDescent="0.35">
      <c r="A2" s="15"/>
      <c r="B2" s="16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7" t="s">
        <v>1</v>
      </c>
      <c r="Z2" s="88"/>
      <c r="AA2" s="88"/>
      <c r="AB2" s="88"/>
      <c r="AC2" s="88"/>
      <c r="AD2" s="88"/>
      <c r="AE2" s="88"/>
      <c r="AF2" s="87" t="s">
        <v>1</v>
      </c>
      <c r="AG2" s="88"/>
      <c r="AH2" s="88"/>
      <c r="AI2" s="88"/>
      <c r="AJ2" s="88"/>
      <c r="AK2" s="28"/>
      <c r="AL2" s="28"/>
      <c r="AM2" s="28"/>
      <c r="AN2" s="28"/>
      <c r="AO2" s="28"/>
      <c r="AP2" s="28"/>
      <c r="AQ2" s="28"/>
      <c r="AR2" s="89" t="s">
        <v>2</v>
      </c>
      <c r="AS2" s="90"/>
      <c r="AT2" s="97" t="s">
        <v>3</v>
      </c>
      <c r="AU2" s="98"/>
    </row>
    <row r="3" spans="1:47" s="2" customFormat="1" ht="43.2" x14ac:dyDescent="0.3">
      <c r="A3" s="29"/>
      <c r="B3" s="29" t="s">
        <v>4</v>
      </c>
      <c r="C3" s="29" t="s">
        <v>5</v>
      </c>
      <c r="D3" s="29" t="s">
        <v>6</v>
      </c>
      <c r="E3" s="29" t="s">
        <v>149</v>
      </c>
      <c r="F3" s="29" t="s">
        <v>8</v>
      </c>
      <c r="G3" s="29" t="s">
        <v>9</v>
      </c>
      <c r="H3" s="29" t="s">
        <v>10</v>
      </c>
      <c r="I3" s="29" t="s">
        <v>11</v>
      </c>
      <c r="J3" s="29" t="s">
        <v>153</v>
      </c>
      <c r="K3" s="29" t="s">
        <v>12</v>
      </c>
      <c r="L3" s="29" t="s">
        <v>138</v>
      </c>
      <c r="M3" s="29" t="s">
        <v>13</v>
      </c>
      <c r="N3" s="29" t="s">
        <v>14</v>
      </c>
      <c r="O3" s="29" t="s">
        <v>128</v>
      </c>
      <c r="P3" s="29" t="s">
        <v>15</v>
      </c>
      <c r="Q3" s="29" t="s">
        <v>156</v>
      </c>
      <c r="R3" s="29" t="s">
        <v>121</v>
      </c>
      <c r="S3" s="29" t="s">
        <v>155</v>
      </c>
      <c r="T3" s="29" t="s">
        <v>125</v>
      </c>
      <c r="U3" s="29" t="s">
        <v>157</v>
      </c>
      <c r="V3" s="29" t="s">
        <v>126</v>
      </c>
      <c r="W3" s="29" t="s">
        <v>133</v>
      </c>
      <c r="X3" s="29" t="s">
        <v>158</v>
      </c>
      <c r="Y3" s="29" t="s">
        <v>16</v>
      </c>
      <c r="Z3" s="29" t="s">
        <v>17</v>
      </c>
      <c r="AA3" s="29" t="s">
        <v>18</v>
      </c>
      <c r="AB3" s="29" t="s">
        <v>123</v>
      </c>
      <c r="AC3" s="29" t="s">
        <v>19</v>
      </c>
      <c r="AD3" s="29" t="s">
        <v>20</v>
      </c>
      <c r="AE3" s="29" t="s">
        <v>21</v>
      </c>
      <c r="AF3" s="29" t="s">
        <v>22</v>
      </c>
      <c r="AG3" s="29" t="s">
        <v>23</v>
      </c>
      <c r="AH3" s="29" t="s">
        <v>24</v>
      </c>
      <c r="AI3" s="29" t="s">
        <v>25</v>
      </c>
      <c r="AJ3" s="29" t="s">
        <v>26</v>
      </c>
      <c r="AK3" s="29" t="s">
        <v>163</v>
      </c>
      <c r="AL3" s="29" t="s">
        <v>139</v>
      </c>
      <c r="AM3" s="29" t="s">
        <v>27</v>
      </c>
      <c r="AN3" s="29" t="s">
        <v>130</v>
      </c>
      <c r="AO3" s="29" t="s">
        <v>166</v>
      </c>
      <c r="AP3" s="29" t="s">
        <v>164</v>
      </c>
      <c r="AQ3" s="29" t="s">
        <v>131</v>
      </c>
      <c r="AR3" s="29" t="s">
        <v>28</v>
      </c>
      <c r="AS3" s="29" t="s">
        <v>29</v>
      </c>
      <c r="AT3" s="29" t="s">
        <v>188</v>
      </c>
      <c r="AU3" s="29" t="s">
        <v>30</v>
      </c>
    </row>
    <row r="4" spans="1:47" s="3" customFormat="1" x14ac:dyDescent="0.3">
      <c r="A4" s="13" t="s">
        <v>31</v>
      </c>
      <c r="B4" s="3">
        <f>229145+13705+40589+9212</f>
        <v>292651</v>
      </c>
      <c r="C4" s="3">
        <v>18735</v>
      </c>
      <c r="D4" s="3">
        <f>48000+468309</f>
        <v>516309</v>
      </c>
      <c r="E4" s="33">
        <f>433168+765514+38080+6504+23580+1057</f>
        <v>1267903</v>
      </c>
      <c r="F4" s="3">
        <f>36879</f>
        <v>36879</v>
      </c>
      <c r="G4" s="3">
        <v>162091</v>
      </c>
      <c r="H4" s="3">
        <v>5159</v>
      </c>
      <c r="I4" s="3">
        <v>19332</v>
      </c>
      <c r="J4" s="3">
        <v>30212</v>
      </c>
      <c r="K4" s="3">
        <v>116601</v>
      </c>
      <c r="L4" s="3">
        <f>20375*2</f>
        <v>40750</v>
      </c>
      <c r="M4" s="3">
        <v>50179</v>
      </c>
      <c r="N4" s="3">
        <f>501994+49695</f>
        <v>551689</v>
      </c>
      <c r="O4" s="3">
        <v>97740</v>
      </c>
      <c r="P4" s="3">
        <v>28467</v>
      </c>
      <c r="Q4" s="3">
        <v>5897</v>
      </c>
      <c r="R4" s="3">
        <v>15084</v>
      </c>
      <c r="S4" s="3">
        <v>4903</v>
      </c>
      <c r="T4" s="3">
        <v>13804</v>
      </c>
      <c r="U4" s="3">
        <v>2151</v>
      </c>
      <c r="V4" s="3">
        <v>9289</v>
      </c>
      <c r="W4" s="3">
        <v>4657</v>
      </c>
      <c r="X4" s="3">
        <v>7280</v>
      </c>
      <c r="Y4" s="3">
        <v>126804</v>
      </c>
      <c r="Z4" s="3">
        <v>17192</v>
      </c>
      <c r="AA4" s="33">
        <f>163328+17920</f>
        <v>181248</v>
      </c>
      <c r="AB4" s="33">
        <f>84044+79369.84-1024</f>
        <v>162389.84</v>
      </c>
      <c r="AC4" s="33">
        <v>10000</v>
      </c>
      <c r="AD4" s="3">
        <f>71619</f>
        <v>71619</v>
      </c>
      <c r="AE4" s="3">
        <v>90965</v>
      </c>
      <c r="AF4" s="33">
        <v>0</v>
      </c>
      <c r="AG4" s="33">
        <f>213239+27317</f>
        <v>240556</v>
      </c>
      <c r="AH4" s="33">
        <v>1646157</v>
      </c>
      <c r="AI4" s="33">
        <v>1812019</v>
      </c>
      <c r="AJ4" s="33">
        <v>3628270</v>
      </c>
      <c r="AK4" s="69">
        <f>1042150+671610</f>
        <v>1713760</v>
      </c>
      <c r="AL4" s="69"/>
      <c r="AM4" s="34">
        <f>151041+51855</f>
        <v>202896</v>
      </c>
      <c r="AN4" s="34">
        <f>56965</f>
        <v>56965</v>
      </c>
      <c r="AO4" s="34">
        <v>400000</v>
      </c>
      <c r="AP4" s="34">
        <v>500000</v>
      </c>
      <c r="AQ4" s="34">
        <v>16347</v>
      </c>
      <c r="AR4" s="3">
        <v>3326249</v>
      </c>
      <c r="AS4" s="33">
        <f>149556+4793</f>
        <v>154349</v>
      </c>
      <c r="AT4" s="3">
        <f>25537299+53696</f>
        <v>25590995</v>
      </c>
      <c r="AU4" s="3">
        <v>177050</v>
      </c>
    </row>
    <row r="5" spans="1:47" s="3" customFormat="1" x14ac:dyDescent="0.3">
      <c r="A5" s="13" t="s">
        <v>32</v>
      </c>
      <c r="B5" s="3">
        <f>3506+2280</f>
        <v>5786</v>
      </c>
      <c r="C5" s="3">
        <v>3307</v>
      </c>
      <c r="D5" s="3">
        <f>2791+2567</f>
        <v>5358</v>
      </c>
      <c r="E5" s="33">
        <f>6084+1509+2359</f>
        <v>9952</v>
      </c>
      <c r="F5" s="3">
        <v>318</v>
      </c>
      <c r="G5" s="3">
        <f>35617+2980</f>
        <v>38597</v>
      </c>
      <c r="H5" s="3">
        <v>565</v>
      </c>
      <c r="I5" s="3">
        <v>2582</v>
      </c>
      <c r="L5" s="3">
        <v>23749</v>
      </c>
      <c r="M5" s="3">
        <v>928</v>
      </c>
      <c r="N5" s="3">
        <f>2435+29500+4408</f>
        <v>36343</v>
      </c>
      <c r="O5" s="3">
        <v>0</v>
      </c>
      <c r="P5" s="3">
        <v>2244</v>
      </c>
      <c r="Q5" s="3">
        <v>560</v>
      </c>
      <c r="R5" s="3">
        <v>748</v>
      </c>
      <c r="S5" s="3">
        <v>0</v>
      </c>
      <c r="T5" s="27">
        <v>825</v>
      </c>
      <c r="V5" s="3">
        <v>212</v>
      </c>
      <c r="Y5" s="3">
        <v>0</v>
      </c>
      <c r="Z5" s="3">
        <v>0</v>
      </c>
      <c r="AA5" s="33"/>
      <c r="AB5" s="33">
        <v>0</v>
      </c>
      <c r="AC5" s="33">
        <v>939</v>
      </c>
      <c r="AD5" s="3">
        <v>10429</v>
      </c>
      <c r="AE5" s="3">
        <v>10164</v>
      </c>
      <c r="AF5" s="33">
        <v>706</v>
      </c>
      <c r="AG5" s="33">
        <v>0</v>
      </c>
      <c r="AH5" s="33"/>
      <c r="AI5" s="33"/>
      <c r="AJ5" s="33">
        <v>6691</v>
      </c>
      <c r="AK5" s="69">
        <v>3194</v>
      </c>
      <c r="AL5" s="69">
        <f>706+1167+2270+1878+1280</f>
        <v>7301</v>
      </c>
      <c r="AM5" s="34">
        <v>-51855</v>
      </c>
      <c r="AN5" s="34">
        <v>18478</v>
      </c>
      <c r="AO5" s="34">
        <f>20633.32+1485.32</f>
        <v>22118.639999999999</v>
      </c>
      <c r="AP5" s="34">
        <v>1523</v>
      </c>
      <c r="AQ5" s="34">
        <v>6778</v>
      </c>
      <c r="AR5" s="3">
        <v>0</v>
      </c>
      <c r="AS5" s="33">
        <v>3352</v>
      </c>
      <c r="AT5" s="3">
        <v>-127756</v>
      </c>
    </row>
    <row r="6" spans="1:47" s="3" customFormat="1" x14ac:dyDescent="0.3">
      <c r="A6" s="13" t="s">
        <v>33</v>
      </c>
      <c r="B6" s="3">
        <f>SUM(B4:B5)</f>
        <v>298437</v>
      </c>
      <c r="C6" s="3">
        <f>SUM(C4:C5)</f>
        <v>22042</v>
      </c>
      <c r="D6" s="3">
        <f>SUM(D4:D5)</f>
        <v>521667</v>
      </c>
      <c r="E6" s="3">
        <f>SUM(E4:E5)</f>
        <v>1277855</v>
      </c>
      <c r="F6" s="3">
        <f>SUM(F4:F5)</f>
        <v>37197</v>
      </c>
      <c r="G6" s="3">
        <f t="shared" ref="G6:AT6" si="0">SUM(G4:G5)</f>
        <v>200688</v>
      </c>
      <c r="H6" s="3">
        <f t="shared" si="0"/>
        <v>5724</v>
      </c>
      <c r="I6" s="3">
        <f t="shared" si="0"/>
        <v>21914</v>
      </c>
      <c r="J6" s="3">
        <f t="shared" si="0"/>
        <v>30212</v>
      </c>
      <c r="K6" s="3">
        <f t="shared" si="0"/>
        <v>116601</v>
      </c>
      <c r="L6" s="3">
        <f t="shared" si="0"/>
        <v>64499</v>
      </c>
      <c r="M6" s="3">
        <f t="shared" si="0"/>
        <v>51107</v>
      </c>
      <c r="N6" s="3">
        <f t="shared" si="0"/>
        <v>588032</v>
      </c>
      <c r="O6" s="3">
        <f t="shared" si="0"/>
        <v>97740</v>
      </c>
      <c r="P6" s="3">
        <f t="shared" si="0"/>
        <v>30711</v>
      </c>
      <c r="Q6" s="3">
        <f t="shared" si="0"/>
        <v>6457</v>
      </c>
      <c r="R6" s="3">
        <f t="shared" si="0"/>
        <v>15832</v>
      </c>
      <c r="S6" s="3">
        <f t="shared" si="0"/>
        <v>4903</v>
      </c>
      <c r="T6" s="3">
        <f t="shared" si="0"/>
        <v>14629</v>
      </c>
      <c r="U6" s="3">
        <f t="shared" si="0"/>
        <v>2151</v>
      </c>
      <c r="V6" s="3">
        <f t="shared" si="0"/>
        <v>9501</v>
      </c>
      <c r="W6" s="3">
        <f t="shared" si="0"/>
        <v>4657</v>
      </c>
      <c r="X6" s="3">
        <f t="shared" si="0"/>
        <v>7280</v>
      </c>
      <c r="Y6" s="3">
        <f t="shared" si="0"/>
        <v>126804</v>
      </c>
      <c r="Z6" s="3">
        <v>17192</v>
      </c>
      <c r="AA6" s="33">
        <f t="shared" si="0"/>
        <v>181248</v>
      </c>
      <c r="AB6" s="33">
        <f t="shared" si="0"/>
        <v>162389.84</v>
      </c>
      <c r="AC6" s="33">
        <f t="shared" si="0"/>
        <v>10939</v>
      </c>
      <c r="AD6" s="3">
        <f t="shared" si="0"/>
        <v>82048</v>
      </c>
      <c r="AE6" s="3">
        <f t="shared" si="0"/>
        <v>101129</v>
      </c>
      <c r="AF6" s="33">
        <f t="shared" si="0"/>
        <v>706</v>
      </c>
      <c r="AG6" s="33">
        <f t="shared" si="0"/>
        <v>240556</v>
      </c>
      <c r="AH6" s="33">
        <f t="shared" si="0"/>
        <v>1646157</v>
      </c>
      <c r="AI6" s="33">
        <f t="shared" si="0"/>
        <v>1812019</v>
      </c>
      <c r="AJ6" s="33">
        <f t="shared" si="0"/>
        <v>3634961</v>
      </c>
      <c r="AK6" s="33">
        <f t="shared" si="0"/>
        <v>1716954</v>
      </c>
      <c r="AL6" s="33">
        <f t="shared" si="0"/>
        <v>7301</v>
      </c>
      <c r="AM6" s="34">
        <f t="shared" si="0"/>
        <v>151041</v>
      </c>
      <c r="AN6" s="34">
        <f t="shared" si="0"/>
        <v>75443</v>
      </c>
      <c r="AO6" s="34">
        <f t="shared" si="0"/>
        <v>422118.64</v>
      </c>
      <c r="AP6" s="34">
        <f t="shared" si="0"/>
        <v>501523</v>
      </c>
      <c r="AQ6" s="34">
        <f t="shared" si="0"/>
        <v>23125</v>
      </c>
      <c r="AR6" s="3">
        <f t="shared" si="0"/>
        <v>3326249</v>
      </c>
      <c r="AS6" s="33">
        <f t="shared" si="0"/>
        <v>157701</v>
      </c>
      <c r="AT6" s="3">
        <f t="shared" si="0"/>
        <v>25463239</v>
      </c>
      <c r="AU6" s="3">
        <f>AU4</f>
        <v>177050</v>
      </c>
    </row>
    <row r="7" spans="1:47" s="5" customFormat="1" x14ac:dyDescent="0.3">
      <c r="A7" s="14" t="s">
        <v>34</v>
      </c>
      <c r="B7" s="5">
        <f>42328</f>
        <v>42328</v>
      </c>
      <c r="C7" s="5">
        <v>0</v>
      </c>
      <c r="D7" s="5">
        <f>49560-7369</f>
        <v>42191</v>
      </c>
      <c r="E7" s="37">
        <f>50668-7537+25939-4033</f>
        <v>65037</v>
      </c>
      <c r="F7" s="5">
        <v>0</v>
      </c>
      <c r="G7" s="5">
        <f>11905-1688</f>
        <v>10217</v>
      </c>
      <c r="N7" s="5">
        <f>44549</f>
        <v>44549</v>
      </c>
      <c r="O7" s="5">
        <v>0</v>
      </c>
      <c r="P7" s="5">
        <v>0</v>
      </c>
      <c r="Q7" s="5">
        <v>0</v>
      </c>
      <c r="AA7" s="37"/>
      <c r="AB7" s="37"/>
      <c r="AC7" s="37"/>
      <c r="AF7" s="37"/>
      <c r="AG7" s="74">
        <v>0</v>
      </c>
      <c r="AH7" s="74"/>
      <c r="AI7" s="74"/>
      <c r="AJ7" s="37">
        <f>3758+1893</f>
        <v>5651</v>
      </c>
      <c r="AK7" s="70">
        <f>1794+904+671610-557</f>
        <v>673751</v>
      </c>
      <c r="AL7" s="70">
        <f>596+985+1917+1586+1082</f>
        <v>6166</v>
      </c>
      <c r="AM7" s="35"/>
      <c r="AN7" s="35"/>
      <c r="AO7" s="35"/>
      <c r="AP7" s="35"/>
      <c r="AQ7" s="35"/>
      <c r="AR7" s="5">
        <v>0</v>
      </c>
      <c r="AS7" s="37"/>
      <c r="AT7" s="5">
        <v>0</v>
      </c>
    </row>
    <row r="8" spans="1:47" s="7" customFormat="1" x14ac:dyDescent="0.3">
      <c r="A8" s="12" t="s">
        <v>35</v>
      </c>
      <c r="B8" s="7">
        <f>B7/B6</f>
        <v>0.14183227950957825</v>
      </c>
      <c r="C8" s="7">
        <f t="shared" ref="C8:AR8" si="1">C7/C6</f>
        <v>0</v>
      </c>
      <c r="D8" s="7">
        <f t="shared" si="1"/>
        <v>8.087726461516638E-2</v>
      </c>
      <c r="E8" s="38">
        <f t="shared" si="1"/>
        <v>5.0895445883922669E-2</v>
      </c>
      <c r="F8" s="7">
        <f t="shared" si="1"/>
        <v>0</v>
      </c>
      <c r="G8" s="7">
        <f t="shared" si="1"/>
        <v>5.0909870047038189E-2</v>
      </c>
      <c r="H8" s="7">
        <f t="shared" si="1"/>
        <v>0</v>
      </c>
      <c r="I8" s="7">
        <f t="shared" si="1"/>
        <v>0</v>
      </c>
      <c r="J8" s="7">
        <f t="shared" si="1"/>
        <v>0</v>
      </c>
      <c r="K8" s="7">
        <f t="shared" si="1"/>
        <v>0</v>
      </c>
      <c r="L8" s="7">
        <f t="shared" si="1"/>
        <v>0</v>
      </c>
      <c r="M8" s="7">
        <f t="shared" si="1"/>
        <v>0</v>
      </c>
      <c r="N8" s="7">
        <f t="shared" si="1"/>
        <v>7.5759482477144105E-2</v>
      </c>
      <c r="O8" s="7">
        <f t="shared" si="1"/>
        <v>0</v>
      </c>
      <c r="P8" s="7">
        <f t="shared" si="1"/>
        <v>0</v>
      </c>
      <c r="Q8" s="7">
        <f t="shared" si="1"/>
        <v>0</v>
      </c>
      <c r="R8" s="7">
        <f t="shared" si="1"/>
        <v>0</v>
      </c>
      <c r="S8" s="7">
        <f t="shared" si="1"/>
        <v>0</v>
      </c>
      <c r="T8" s="7">
        <f t="shared" si="1"/>
        <v>0</v>
      </c>
      <c r="U8" s="7">
        <v>0</v>
      </c>
      <c r="V8" s="7">
        <f t="shared" si="1"/>
        <v>0</v>
      </c>
      <c r="Y8" s="7">
        <f t="shared" si="1"/>
        <v>0</v>
      </c>
      <c r="Z8" s="7">
        <f t="shared" si="1"/>
        <v>0</v>
      </c>
      <c r="AA8" s="38">
        <f t="shared" si="1"/>
        <v>0</v>
      </c>
      <c r="AB8" s="38">
        <f t="shared" si="1"/>
        <v>0</v>
      </c>
      <c r="AC8" s="38">
        <f t="shared" si="1"/>
        <v>0</v>
      </c>
      <c r="AD8" s="7">
        <f t="shared" si="1"/>
        <v>0</v>
      </c>
      <c r="AE8" s="7">
        <f t="shared" si="1"/>
        <v>0</v>
      </c>
      <c r="AF8" s="71"/>
      <c r="AG8" s="75">
        <f t="shared" ref="AG8:AJ8" si="2">AG7/AG6</f>
        <v>0</v>
      </c>
      <c r="AH8" s="75">
        <f t="shared" si="2"/>
        <v>0</v>
      </c>
      <c r="AI8" s="75">
        <f t="shared" si="2"/>
        <v>0</v>
      </c>
      <c r="AJ8" s="75">
        <f t="shared" si="2"/>
        <v>1.5546246575960513E-3</v>
      </c>
      <c r="AK8" s="75">
        <f>AK7/AK6</f>
        <v>0.39241062952181593</v>
      </c>
      <c r="AL8" s="75"/>
      <c r="AM8" s="36"/>
      <c r="AN8" s="36"/>
      <c r="AO8" s="36"/>
      <c r="AP8" s="36"/>
      <c r="AQ8" s="36"/>
      <c r="AR8" s="7">
        <f t="shared" si="1"/>
        <v>0</v>
      </c>
      <c r="AS8" s="38">
        <f>AS7/AS6</f>
        <v>0</v>
      </c>
      <c r="AT8" s="7">
        <f>AT7/AT6</f>
        <v>0</v>
      </c>
      <c r="AU8" s="7">
        <f t="shared" ref="AU8" si="3">AU7/AU6</f>
        <v>0</v>
      </c>
    </row>
    <row r="9" spans="1:47" s="5" customFormat="1" x14ac:dyDescent="0.3">
      <c r="A9" s="14" t="s">
        <v>36</v>
      </c>
      <c r="B9" s="5">
        <f>229145+13705+2280</f>
        <v>245130</v>
      </c>
      <c r="C9" s="5">
        <v>19288</v>
      </c>
      <c r="D9" s="5">
        <f>413309+55000+2567</f>
        <v>470876</v>
      </c>
      <c r="E9" s="37">
        <f>433168+765514+1509</f>
        <v>1200191</v>
      </c>
      <c r="F9" s="5">
        <v>36795</v>
      </c>
      <c r="G9" s="5">
        <v>124452</v>
      </c>
      <c r="H9" s="5">
        <v>3229</v>
      </c>
      <c r="I9" s="5">
        <v>13287</v>
      </c>
      <c r="J9" s="5">
        <v>30212</v>
      </c>
      <c r="K9" s="5">
        <v>87450</v>
      </c>
      <c r="L9" s="5">
        <v>54590</v>
      </c>
      <c r="M9" s="5">
        <v>44808</v>
      </c>
      <c r="N9" s="5">
        <f>461843</f>
        <v>461843</v>
      </c>
      <c r="O9" s="5">
        <v>88941</v>
      </c>
      <c r="P9" s="5">
        <v>26085</v>
      </c>
      <c r="Q9" s="5">
        <v>6131</v>
      </c>
      <c r="R9" s="5">
        <f>8828-872+748+30</f>
        <v>8734</v>
      </c>
      <c r="S9" s="5">
        <f>4822-306</f>
        <v>4516</v>
      </c>
      <c r="T9" s="5">
        <f>9038-906+855</f>
        <v>8987</v>
      </c>
      <c r="U9" s="5">
        <v>1792</v>
      </c>
      <c r="V9" s="5">
        <f>9501-1362</f>
        <v>8139</v>
      </c>
      <c r="W9" s="5">
        <f>4263</f>
        <v>4263</v>
      </c>
      <c r="X9" s="5">
        <v>7280</v>
      </c>
      <c r="Y9" s="5">
        <v>108337</v>
      </c>
      <c r="Z9" s="5">
        <f>12797</f>
        <v>12797</v>
      </c>
      <c r="AA9" s="37">
        <v>141262</v>
      </c>
      <c r="AB9" s="37">
        <v>74100</v>
      </c>
      <c r="AC9" s="37">
        <f>10894-1694</f>
        <v>9200</v>
      </c>
      <c r="AD9" s="5">
        <f>75760-11185</f>
        <v>64575</v>
      </c>
      <c r="AE9" s="5">
        <f>101129-13126</f>
        <v>88003</v>
      </c>
      <c r="AF9" s="73">
        <f>706-110</f>
        <v>596</v>
      </c>
      <c r="AG9" s="74">
        <v>170085</v>
      </c>
      <c r="AH9" s="74">
        <v>1164396</v>
      </c>
      <c r="AI9" s="74">
        <f>10561-281</f>
        <v>10280</v>
      </c>
      <c r="AJ9" s="37">
        <v>0</v>
      </c>
      <c r="AK9" s="70"/>
      <c r="AL9" s="70"/>
      <c r="AM9" s="35">
        <f>120820-17151</f>
        <v>103669</v>
      </c>
      <c r="AN9" s="35">
        <v>65420</v>
      </c>
      <c r="AO9" s="35">
        <f>97167-7815</f>
        <v>89352</v>
      </c>
      <c r="AP9" s="35">
        <f>99898-1523</f>
        <v>98375</v>
      </c>
      <c r="AQ9" s="35">
        <f>3806+1917</f>
        <v>5723</v>
      </c>
      <c r="AR9" s="5">
        <f>2579052-289592</f>
        <v>2289460</v>
      </c>
      <c r="AS9" s="37">
        <f>157701-19480</f>
        <v>138221</v>
      </c>
      <c r="AT9" s="5">
        <f>23593318-199493</f>
        <v>23393825</v>
      </c>
      <c r="AU9" s="5">
        <f>980889-870668</f>
        <v>110221</v>
      </c>
    </row>
    <row r="10" spans="1:47" s="7" customFormat="1" x14ac:dyDescent="0.3">
      <c r="A10" s="12" t="s">
        <v>37</v>
      </c>
      <c r="B10" s="7">
        <f>B9/B6</f>
        <v>0.82137938660420795</v>
      </c>
      <c r="C10" s="7">
        <f t="shared" ref="C10:AU10" si="4">C9/C6</f>
        <v>0.87505670991743034</v>
      </c>
      <c r="D10" s="7">
        <f t="shared" si="4"/>
        <v>0.90263712291557641</v>
      </c>
      <c r="E10" s="38">
        <f t="shared" si="4"/>
        <v>0.93922315129650857</v>
      </c>
      <c r="F10" s="7">
        <f t="shared" si="4"/>
        <v>0.98919267682877654</v>
      </c>
      <c r="G10" s="7">
        <f t="shared" si="4"/>
        <v>0.62012676393207367</v>
      </c>
      <c r="H10" s="7">
        <f t="shared" si="4"/>
        <v>0.56411600279524809</v>
      </c>
      <c r="I10" s="7">
        <f t="shared" si="4"/>
        <v>0.60632472392078118</v>
      </c>
      <c r="J10" s="7">
        <f t="shared" si="4"/>
        <v>1</v>
      </c>
      <c r="K10" s="7">
        <f t="shared" si="4"/>
        <v>0.74999356780816628</v>
      </c>
      <c r="L10" s="7">
        <f t="shared" si="4"/>
        <v>0.8463697111583125</v>
      </c>
      <c r="M10" s="7">
        <f t="shared" si="4"/>
        <v>0.87674878196724515</v>
      </c>
      <c r="N10" s="7">
        <f t="shared" si="4"/>
        <v>0.78540453580757508</v>
      </c>
      <c r="O10" s="7">
        <f t="shared" si="4"/>
        <v>0.90997544505831796</v>
      </c>
      <c r="P10" s="7">
        <f t="shared" si="4"/>
        <v>0.84936993259744065</v>
      </c>
      <c r="Q10" s="7">
        <f t="shared" si="4"/>
        <v>0.94951215734861394</v>
      </c>
      <c r="R10" s="7">
        <f t="shared" si="4"/>
        <v>0.55166750884284987</v>
      </c>
      <c r="S10" s="7">
        <f t="shared" si="4"/>
        <v>0.92106873342851314</v>
      </c>
      <c r="T10" s="7">
        <f t="shared" si="4"/>
        <v>0.6143277052430105</v>
      </c>
      <c r="U10" s="7">
        <v>0</v>
      </c>
      <c r="V10" s="7">
        <f t="shared" si="4"/>
        <v>0.85664666877170825</v>
      </c>
      <c r="W10" s="7">
        <f t="shared" si="4"/>
        <v>0.91539617779686488</v>
      </c>
      <c r="X10" s="7">
        <f t="shared" si="4"/>
        <v>1</v>
      </c>
      <c r="Y10" s="7">
        <f t="shared" si="4"/>
        <v>0.85436579287719627</v>
      </c>
      <c r="Z10" s="7">
        <f t="shared" si="4"/>
        <v>0.74435784085621215</v>
      </c>
      <c r="AA10" s="38">
        <f t="shared" si="4"/>
        <v>0.7793851518361582</v>
      </c>
      <c r="AB10" s="38"/>
      <c r="AC10" s="38">
        <f t="shared" si="4"/>
        <v>0.84102751622634608</v>
      </c>
      <c r="AD10" s="7">
        <f t="shared" si="4"/>
        <v>0.78703929407176287</v>
      </c>
      <c r="AE10" s="7">
        <f t="shared" si="4"/>
        <v>0.87020538124573565</v>
      </c>
      <c r="AF10" s="71"/>
      <c r="AG10" s="75">
        <f t="shared" ref="AG10:AM10" si="5">AG9/AG6</f>
        <v>0.70704950198706329</v>
      </c>
      <c r="AH10" s="75">
        <f t="shared" si="5"/>
        <v>0.7073420092980196</v>
      </c>
      <c r="AI10" s="75">
        <f t="shared" si="5"/>
        <v>5.6732296957151115E-3</v>
      </c>
      <c r="AJ10" s="38">
        <f t="shared" si="5"/>
        <v>0</v>
      </c>
      <c r="AK10" s="38">
        <f t="shared" si="5"/>
        <v>0</v>
      </c>
      <c r="AL10" s="38"/>
      <c r="AM10" s="7">
        <f t="shared" si="5"/>
        <v>0.68636330532769252</v>
      </c>
      <c r="AR10" s="7">
        <f t="shared" si="4"/>
        <v>0.68830084578755224</v>
      </c>
      <c r="AS10" s="38">
        <f t="shared" si="4"/>
        <v>0.87647510161634989</v>
      </c>
      <c r="AT10" s="7">
        <f t="shared" si="4"/>
        <v>0.91872934939659479</v>
      </c>
      <c r="AU10" s="7">
        <f t="shared" si="4"/>
        <v>0.62254165489974589</v>
      </c>
    </row>
    <row r="11" spans="1:47" s="5" customFormat="1" x14ac:dyDescent="0.3">
      <c r="A11" s="14" t="s">
        <v>38</v>
      </c>
      <c r="B11" s="5">
        <v>6882</v>
      </c>
      <c r="C11" s="5">
        <v>2754</v>
      </c>
      <c r="D11" s="5">
        <v>7369</v>
      </c>
      <c r="E11" s="37">
        <f>7537+4033</f>
        <v>11570</v>
      </c>
      <c r="G11" s="5">
        <f>1688+16211</f>
        <v>17899</v>
      </c>
      <c r="H11" s="5">
        <v>528</v>
      </c>
      <c r="I11" s="5">
        <v>1936</v>
      </c>
      <c r="L11" s="5">
        <v>9909</v>
      </c>
      <c r="M11" s="5">
        <v>6299</v>
      </c>
      <c r="N11" s="5">
        <f>72776+7581</f>
        <v>80357</v>
      </c>
      <c r="O11" s="5">
        <v>8662</v>
      </c>
      <c r="P11" s="5">
        <v>4626</v>
      </c>
      <c r="Q11" s="5">
        <v>326</v>
      </c>
      <c r="R11" s="5">
        <f>872-30</f>
        <v>842</v>
      </c>
      <c r="S11" s="5">
        <v>306</v>
      </c>
      <c r="T11" s="5">
        <f>906-30</f>
        <v>876</v>
      </c>
      <c r="U11" s="5">
        <f>107+216</f>
        <v>323</v>
      </c>
      <c r="V11" s="5">
        <v>1362</v>
      </c>
      <c r="W11" s="5">
        <v>352</v>
      </c>
      <c r="X11" s="5">
        <v>0</v>
      </c>
      <c r="Y11" s="5">
        <v>18467</v>
      </c>
      <c r="Z11" s="5">
        <v>2347</v>
      </c>
      <c r="AA11" s="37">
        <v>22066</v>
      </c>
      <c r="AB11" s="37">
        <v>9944</v>
      </c>
      <c r="AC11" s="37">
        <v>1694</v>
      </c>
      <c r="AD11" s="5">
        <v>11185</v>
      </c>
      <c r="AE11" s="5">
        <v>13126</v>
      </c>
      <c r="AF11" s="73">
        <v>110</v>
      </c>
      <c r="AG11" s="74">
        <v>0</v>
      </c>
      <c r="AH11" s="74"/>
      <c r="AI11" s="74">
        <v>281</v>
      </c>
      <c r="AJ11" s="37">
        <v>1040</v>
      </c>
      <c r="AK11" s="70">
        <f>497+557</f>
        <v>1054</v>
      </c>
      <c r="AL11" s="70">
        <f>110+181+353+292+199</f>
        <v>1135</v>
      </c>
      <c r="AM11" s="35">
        <v>17151</v>
      </c>
      <c r="AN11" s="35">
        <v>10023</v>
      </c>
      <c r="AO11" s="35">
        <v>7815</v>
      </c>
      <c r="AP11" s="35">
        <v>1523</v>
      </c>
      <c r="AQ11" s="35">
        <v>1054</v>
      </c>
      <c r="AR11" s="5">
        <v>289592</v>
      </c>
      <c r="AS11" s="37">
        <v>19480</v>
      </c>
      <c r="AT11" s="5">
        <v>199493</v>
      </c>
      <c r="AU11" s="5">
        <v>0</v>
      </c>
    </row>
    <row r="12" spans="1:47" s="7" customFormat="1" ht="15.75" customHeight="1" x14ac:dyDescent="0.3">
      <c r="A12" s="12" t="s">
        <v>39</v>
      </c>
      <c r="B12" s="7">
        <f>B11/B6</f>
        <v>2.3060143346837023E-2</v>
      </c>
      <c r="C12" s="7">
        <f t="shared" ref="C12:AU12" si="6">C11/C6</f>
        <v>0.12494329008256964</v>
      </c>
      <c r="D12" s="7">
        <f t="shared" si="6"/>
        <v>1.4125869568134461E-2</v>
      </c>
      <c r="E12" s="38">
        <f t="shared" si="6"/>
        <v>9.0542354179464803E-3</v>
      </c>
      <c r="F12" s="7">
        <f t="shared" si="6"/>
        <v>0</v>
      </c>
      <c r="G12" s="7">
        <f t="shared" si="6"/>
        <v>8.9188192617396161E-2</v>
      </c>
      <c r="H12" s="7">
        <f t="shared" si="6"/>
        <v>9.2243186582809222E-2</v>
      </c>
      <c r="I12" s="7">
        <f t="shared" si="6"/>
        <v>8.8345350004563297E-2</v>
      </c>
      <c r="J12" s="7">
        <f t="shared" si="6"/>
        <v>0</v>
      </c>
      <c r="K12" s="7">
        <f t="shared" si="6"/>
        <v>0</v>
      </c>
      <c r="L12" s="7">
        <f t="shared" si="6"/>
        <v>0.15363028884168747</v>
      </c>
      <c r="M12" s="7">
        <f t="shared" si="6"/>
        <v>0.12325121803275481</v>
      </c>
      <c r="N12" s="7">
        <f t="shared" si="6"/>
        <v>0.13665412766652155</v>
      </c>
      <c r="O12" s="7">
        <f t="shared" si="6"/>
        <v>8.8622877020667082E-2</v>
      </c>
      <c r="P12" s="7">
        <f t="shared" si="6"/>
        <v>0.15063006740255935</v>
      </c>
      <c r="Q12" s="7">
        <f t="shared" si="6"/>
        <v>5.0487842651386096E-2</v>
      </c>
      <c r="R12" s="7">
        <f t="shared" si="6"/>
        <v>5.3183425972713493E-2</v>
      </c>
      <c r="S12" s="7">
        <f t="shared" si="6"/>
        <v>6.2410768916989601E-2</v>
      </c>
      <c r="T12" s="7">
        <f t="shared" si="6"/>
        <v>5.9881058172123865E-2</v>
      </c>
      <c r="U12" s="7">
        <v>0</v>
      </c>
      <c r="V12" s="7">
        <f t="shared" si="6"/>
        <v>0.14335333122829175</v>
      </c>
      <c r="W12" s="7">
        <f t="shared" si="6"/>
        <v>7.5585140648486149E-2</v>
      </c>
      <c r="X12" s="7">
        <f t="shared" si="6"/>
        <v>0</v>
      </c>
      <c r="Y12" s="7">
        <f t="shared" si="6"/>
        <v>0.1456342071228037</v>
      </c>
      <c r="Z12" s="7">
        <f t="shared" si="6"/>
        <v>0.13651698464402048</v>
      </c>
      <c r="AA12" s="38">
        <f t="shared" si="6"/>
        <v>0.12174479166666667</v>
      </c>
      <c r="AB12" s="38">
        <f t="shared" si="6"/>
        <v>6.123535807412582E-2</v>
      </c>
      <c r="AC12" s="38">
        <f t="shared" si="6"/>
        <v>0.1548587622268946</v>
      </c>
      <c r="AD12" s="7">
        <f t="shared" si="6"/>
        <v>0.13632264040561623</v>
      </c>
      <c r="AE12" s="7">
        <f t="shared" si="6"/>
        <v>0.12979461875426435</v>
      </c>
      <c r="AF12" s="38">
        <f t="shared" si="6"/>
        <v>0.15580736543909349</v>
      </c>
      <c r="AG12" s="38">
        <f t="shared" si="6"/>
        <v>0</v>
      </c>
      <c r="AH12" s="38">
        <f t="shared" si="6"/>
        <v>0</v>
      </c>
      <c r="AI12" s="38">
        <f t="shared" si="6"/>
        <v>1.5507563662411929E-4</v>
      </c>
      <c r="AJ12" s="38"/>
      <c r="AK12" s="72"/>
      <c r="AL12" s="72"/>
      <c r="AM12" s="36"/>
      <c r="AN12" s="36"/>
      <c r="AO12" s="36"/>
      <c r="AP12" s="36"/>
      <c r="AQ12" s="36"/>
      <c r="AR12" s="7">
        <f t="shared" si="6"/>
        <v>8.7062634216500331E-2</v>
      </c>
      <c r="AS12" s="38">
        <f t="shared" si="6"/>
        <v>0.12352489838365008</v>
      </c>
      <c r="AT12" s="7">
        <f t="shared" si="6"/>
        <v>7.8345492496064619E-3</v>
      </c>
      <c r="AU12" s="7">
        <f t="shared" si="6"/>
        <v>0</v>
      </c>
    </row>
    <row r="13" spans="1:47" s="5" customFormat="1" x14ac:dyDescent="0.3">
      <c r="A13" s="14" t="s">
        <v>40</v>
      </c>
      <c r="B13" s="5">
        <f>B6-B7-B9-B11</f>
        <v>4097</v>
      </c>
      <c r="C13" s="5">
        <f t="shared" ref="C13:AU13" si="7">C6-C7-C9-C11</f>
        <v>0</v>
      </c>
      <c r="D13" s="5">
        <f t="shared" si="7"/>
        <v>1231</v>
      </c>
      <c r="E13" s="37">
        <f t="shared" si="7"/>
        <v>1057</v>
      </c>
      <c r="F13" s="5">
        <f t="shared" si="7"/>
        <v>402</v>
      </c>
      <c r="G13" s="5">
        <f t="shared" si="7"/>
        <v>48120</v>
      </c>
      <c r="H13" s="5">
        <f t="shared" si="7"/>
        <v>1967</v>
      </c>
      <c r="I13" s="5">
        <f t="shared" si="7"/>
        <v>6691</v>
      </c>
      <c r="J13" s="5">
        <f t="shared" si="7"/>
        <v>0</v>
      </c>
      <c r="K13" s="5">
        <f t="shared" si="7"/>
        <v>29151</v>
      </c>
      <c r="L13" s="5">
        <f t="shared" si="7"/>
        <v>0</v>
      </c>
      <c r="M13" s="5">
        <f t="shared" si="7"/>
        <v>0</v>
      </c>
      <c r="N13" s="5">
        <f t="shared" si="7"/>
        <v>1283</v>
      </c>
      <c r="O13" s="5">
        <f t="shared" si="7"/>
        <v>137</v>
      </c>
      <c r="P13" s="5">
        <f t="shared" si="7"/>
        <v>0</v>
      </c>
      <c r="Q13" s="5">
        <f t="shared" si="7"/>
        <v>0</v>
      </c>
      <c r="R13" s="5">
        <f t="shared" si="7"/>
        <v>6256</v>
      </c>
      <c r="S13" s="5">
        <f t="shared" si="7"/>
        <v>81</v>
      </c>
      <c r="T13" s="5">
        <f t="shared" si="7"/>
        <v>4766</v>
      </c>
      <c r="U13" s="5">
        <f t="shared" si="7"/>
        <v>36</v>
      </c>
      <c r="V13" s="5">
        <f t="shared" si="7"/>
        <v>0</v>
      </c>
      <c r="W13" s="5">
        <f t="shared" si="7"/>
        <v>42</v>
      </c>
      <c r="X13" s="5">
        <f t="shared" si="7"/>
        <v>0</v>
      </c>
      <c r="Y13" s="5">
        <f t="shared" si="7"/>
        <v>0</v>
      </c>
      <c r="Z13" s="5">
        <f t="shared" si="7"/>
        <v>2048</v>
      </c>
      <c r="AA13" s="37">
        <f t="shared" si="7"/>
        <v>17920</v>
      </c>
      <c r="AB13" s="37">
        <f t="shared" si="7"/>
        <v>78345.84</v>
      </c>
      <c r="AC13" s="37">
        <f t="shared" si="7"/>
        <v>45</v>
      </c>
      <c r="AD13" s="5">
        <f t="shared" si="7"/>
        <v>6288</v>
      </c>
      <c r="AE13" s="5">
        <f t="shared" si="7"/>
        <v>0</v>
      </c>
      <c r="AF13" s="37">
        <f t="shared" si="7"/>
        <v>0</v>
      </c>
      <c r="AG13" s="37">
        <f t="shared" si="7"/>
        <v>70471</v>
      </c>
      <c r="AH13" s="37">
        <f t="shared" si="7"/>
        <v>481761</v>
      </c>
      <c r="AI13" s="37">
        <f t="shared" si="7"/>
        <v>1801458</v>
      </c>
      <c r="AJ13" s="37">
        <f t="shared" si="7"/>
        <v>3628270</v>
      </c>
      <c r="AK13" s="37">
        <f t="shared" si="7"/>
        <v>1042149</v>
      </c>
      <c r="AL13" s="37">
        <f t="shared" si="7"/>
        <v>0</v>
      </c>
      <c r="AM13" s="35">
        <f t="shared" si="7"/>
        <v>30221</v>
      </c>
      <c r="AN13" s="35">
        <f t="shared" si="7"/>
        <v>0</v>
      </c>
      <c r="AO13" s="35">
        <f t="shared" si="7"/>
        <v>324951.64</v>
      </c>
      <c r="AP13" s="35">
        <f t="shared" si="7"/>
        <v>401625</v>
      </c>
      <c r="AQ13" s="35">
        <f t="shared" si="7"/>
        <v>16348</v>
      </c>
      <c r="AR13" s="5">
        <f t="shared" si="7"/>
        <v>747197</v>
      </c>
      <c r="AS13" s="37">
        <f t="shared" si="7"/>
        <v>0</v>
      </c>
      <c r="AT13" s="5">
        <f t="shared" si="7"/>
        <v>1869921</v>
      </c>
      <c r="AU13" s="5">
        <f t="shared" si="7"/>
        <v>66829</v>
      </c>
    </row>
    <row r="14" spans="1:47" s="6" customFormat="1" ht="214.2" customHeight="1" x14ac:dyDescent="0.3">
      <c r="A14" s="4" t="s">
        <v>41</v>
      </c>
      <c r="B14" s="4" t="s">
        <v>160</v>
      </c>
      <c r="C14" s="4" t="s">
        <v>42</v>
      </c>
      <c r="D14" s="4" t="s">
        <v>160</v>
      </c>
      <c r="E14" s="4" t="s">
        <v>160</v>
      </c>
      <c r="F14" s="4" t="s">
        <v>174</v>
      </c>
      <c r="G14" s="4" t="s">
        <v>174</v>
      </c>
      <c r="H14" s="4" t="s">
        <v>174</v>
      </c>
      <c r="I14" s="4" t="s">
        <v>174</v>
      </c>
      <c r="J14" s="6" t="s">
        <v>42</v>
      </c>
      <c r="K14" s="6" t="s">
        <v>43</v>
      </c>
      <c r="L14" s="4" t="s">
        <v>42</v>
      </c>
      <c r="M14" s="6" t="s">
        <v>42</v>
      </c>
      <c r="N14" s="4" t="s">
        <v>154</v>
      </c>
      <c r="O14" s="4" t="s">
        <v>154</v>
      </c>
      <c r="P14" s="6" t="s">
        <v>42</v>
      </c>
      <c r="Q14" s="4" t="s">
        <v>42</v>
      </c>
      <c r="R14" s="4" t="s">
        <v>175</v>
      </c>
      <c r="S14" s="6" t="s">
        <v>44</v>
      </c>
      <c r="T14" s="4" t="s">
        <v>175</v>
      </c>
      <c r="U14" s="6" t="s">
        <v>44</v>
      </c>
      <c r="V14" s="4" t="s">
        <v>42</v>
      </c>
      <c r="W14" s="4" t="s">
        <v>176</v>
      </c>
      <c r="X14" s="4" t="s">
        <v>42</v>
      </c>
      <c r="Y14" s="6" t="s">
        <v>42</v>
      </c>
      <c r="Z14" s="4" t="s">
        <v>161</v>
      </c>
      <c r="AA14" s="4" t="s">
        <v>182</v>
      </c>
      <c r="AB14" s="4" t="s">
        <v>135</v>
      </c>
      <c r="AC14" s="4" t="s">
        <v>181</v>
      </c>
      <c r="AD14" s="4" t="s">
        <v>162</v>
      </c>
      <c r="AE14" s="6" t="s">
        <v>42</v>
      </c>
      <c r="AF14" s="6" t="s">
        <v>42</v>
      </c>
      <c r="AG14" s="6" t="s">
        <v>45</v>
      </c>
      <c r="AH14" s="6" t="s">
        <v>45</v>
      </c>
      <c r="AI14" s="6" t="s">
        <v>45</v>
      </c>
      <c r="AJ14" s="6" t="s">
        <v>45</v>
      </c>
      <c r="AK14" s="6" t="s">
        <v>45</v>
      </c>
      <c r="AL14" s="6" t="s">
        <v>42</v>
      </c>
      <c r="AM14" s="4" t="s">
        <v>42</v>
      </c>
      <c r="AN14" s="4" t="s">
        <v>45</v>
      </c>
      <c r="AO14" s="4" t="s">
        <v>165</v>
      </c>
      <c r="AP14" s="4" t="s">
        <v>165</v>
      </c>
      <c r="AQ14" s="4" t="s">
        <v>177</v>
      </c>
      <c r="AR14" s="59" t="s">
        <v>185</v>
      </c>
      <c r="AS14" s="4" t="s">
        <v>42</v>
      </c>
      <c r="AT14" s="4" t="s">
        <v>132</v>
      </c>
      <c r="AU14" s="59" t="s">
        <v>122</v>
      </c>
    </row>
    <row r="15" spans="1:47" x14ac:dyDescent="0.3">
      <c r="Q15" t="s">
        <v>127</v>
      </c>
    </row>
    <row r="16" spans="1:47" s="6" customFormat="1" ht="201.6" customHeight="1" x14ac:dyDescent="0.3">
      <c r="A16" s="4" t="s">
        <v>46</v>
      </c>
      <c r="B16" s="6" t="s">
        <v>152</v>
      </c>
      <c r="C16" s="4" t="s">
        <v>47</v>
      </c>
      <c r="G16" s="4" t="s">
        <v>48</v>
      </c>
      <c r="H16" s="4" t="s">
        <v>47</v>
      </c>
      <c r="I16" s="4" t="s">
        <v>47</v>
      </c>
      <c r="L16" s="18" t="s">
        <v>49</v>
      </c>
      <c r="M16" s="4" t="s">
        <v>47</v>
      </c>
      <c r="N16" s="18" t="s">
        <v>50</v>
      </c>
      <c r="O16" s="18" t="s">
        <v>129</v>
      </c>
      <c r="P16" s="18" t="s">
        <v>51</v>
      </c>
      <c r="Q16" s="4" t="s">
        <v>52</v>
      </c>
      <c r="R16" s="4" t="s">
        <v>52</v>
      </c>
      <c r="S16" s="4" t="s">
        <v>53</v>
      </c>
      <c r="T16" s="4" t="s">
        <v>53</v>
      </c>
      <c r="U16" s="4" t="s">
        <v>54</v>
      </c>
      <c r="V16" s="4" t="s">
        <v>54</v>
      </c>
      <c r="W16" s="4" t="s">
        <v>134</v>
      </c>
      <c r="X16" s="4" t="s">
        <v>159</v>
      </c>
      <c r="Y16" s="4" t="s">
        <v>55</v>
      </c>
      <c r="Z16" s="4" t="s">
        <v>56</v>
      </c>
      <c r="AA16" s="4" t="s">
        <v>57</v>
      </c>
      <c r="AB16" s="4" t="s">
        <v>124</v>
      </c>
      <c r="AC16" s="4" t="s">
        <v>58</v>
      </c>
      <c r="AD16" s="4" t="s">
        <v>59</v>
      </c>
      <c r="AE16" s="4" t="s">
        <v>60</v>
      </c>
      <c r="AF16" s="42" t="s">
        <v>61</v>
      </c>
      <c r="AG16" s="4" t="s">
        <v>62</v>
      </c>
      <c r="AH16" s="4" t="s">
        <v>63</v>
      </c>
      <c r="AI16" s="4" t="s">
        <v>64</v>
      </c>
      <c r="AJ16" s="4" t="s">
        <v>65</v>
      </c>
      <c r="AK16" s="4" t="s">
        <v>141</v>
      </c>
      <c r="AL16" s="4" t="s">
        <v>140</v>
      </c>
      <c r="AM16" s="4" t="s">
        <v>66</v>
      </c>
      <c r="AN16" s="4" t="s">
        <v>137</v>
      </c>
      <c r="AO16" s="4" t="s">
        <v>167</v>
      </c>
      <c r="AP16" s="4" t="s">
        <v>184</v>
      </c>
      <c r="AQ16" s="4" t="s">
        <v>136</v>
      </c>
      <c r="AR16" s="4" t="s">
        <v>67</v>
      </c>
      <c r="AS16" s="4" t="s">
        <v>68</v>
      </c>
      <c r="AT16" s="4" t="s">
        <v>183</v>
      </c>
    </row>
    <row r="19" spans="1:45" s="6" customFormat="1" ht="14.4" customHeight="1" x14ac:dyDescent="0.3">
      <c r="A19" s="86" t="s">
        <v>69</v>
      </c>
      <c r="B19" s="77" t="s">
        <v>70</v>
      </c>
      <c r="C19" s="80" t="s">
        <v>42</v>
      </c>
      <c r="D19" s="77" t="s">
        <v>71</v>
      </c>
      <c r="E19" s="77" t="s">
        <v>72</v>
      </c>
      <c r="F19" s="77" t="s">
        <v>186</v>
      </c>
      <c r="G19" s="80" t="s">
        <v>42</v>
      </c>
      <c r="H19" s="80" t="s">
        <v>42</v>
      </c>
      <c r="I19" s="80" t="s">
        <v>42</v>
      </c>
      <c r="J19" s="77" t="s">
        <v>187</v>
      </c>
      <c r="K19" s="77" t="s">
        <v>187</v>
      </c>
      <c r="L19" s="77" t="s">
        <v>42</v>
      </c>
      <c r="M19" s="80" t="s">
        <v>42</v>
      </c>
      <c r="N19" s="80" t="s">
        <v>42</v>
      </c>
      <c r="O19" s="66"/>
      <c r="P19" s="80" t="s">
        <v>42</v>
      </c>
      <c r="Q19" s="80" t="s">
        <v>42</v>
      </c>
      <c r="R19" s="80" t="s">
        <v>42</v>
      </c>
      <c r="S19" s="66"/>
      <c r="T19" s="80" t="s">
        <v>42</v>
      </c>
      <c r="U19" s="80" t="s">
        <v>42</v>
      </c>
      <c r="V19" s="80" t="s">
        <v>42</v>
      </c>
      <c r="W19" s="66"/>
      <c r="X19" s="66"/>
      <c r="Y19" s="80"/>
      <c r="Z19" s="80"/>
      <c r="AA19" s="80"/>
      <c r="AB19" s="66"/>
      <c r="AC19" s="80"/>
      <c r="AD19" s="80"/>
      <c r="AE19" s="80"/>
      <c r="AF19" s="43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91" t="s">
        <v>168</v>
      </c>
      <c r="AS19" s="80"/>
    </row>
    <row r="20" spans="1:45" s="6" customFormat="1" ht="14.4" customHeight="1" x14ac:dyDescent="0.3">
      <c r="A20" s="86"/>
      <c r="B20" s="78" t="s">
        <v>74</v>
      </c>
      <c r="C20" s="81"/>
      <c r="D20" s="78" t="s">
        <v>71</v>
      </c>
      <c r="E20" s="78" t="s">
        <v>72</v>
      </c>
      <c r="F20" s="78" t="s">
        <v>73</v>
      </c>
      <c r="G20" s="81"/>
      <c r="H20" s="81"/>
      <c r="I20" s="81"/>
      <c r="J20" s="78" t="s">
        <v>71</v>
      </c>
      <c r="K20" s="78" t="s">
        <v>71</v>
      </c>
      <c r="L20" s="78" t="s">
        <v>49</v>
      </c>
      <c r="M20" s="81"/>
      <c r="N20" s="81"/>
      <c r="O20" s="67"/>
      <c r="P20" s="81"/>
      <c r="Q20" s="81"/>
      <c r="R20" s="81"/>
      <c r="S20" s="67"/>
      <c r="T20" s="81"/>
      <c r="U20" s="81"/>
      <c r="V20" s="81"/>
      <c r="W20" s="67"/>
      <c r="X20" s="67"/>
      <c r="Y20" s="81"/>
      <c r="Z20" s="81"/>
      <c r="AA20" s="81"/>
      <c r="AB20" s="67"/>
      <c r="AC20" s="81"/>
      <c r="AD20" s="81"/>
      <c r="AE20" s="81"/>
      <c r="AF20" s="44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92"/>
      <c r="AS20" s="81"/>
    </row>
    <row r="21" spans="1:45" s="6" customFormat="1" ht="14.4" customHeight="1" x14ac:dyDescent="0.3">
      <c r="A21" s="86"/>
      <c r="B21" s="78" t="s">
        <v>74</v>
      </c>
      <c r="C21" s="81"/>
      <c r="D21" s="78" t="s">
        <v>71</v>
      </c>
      <c r="E21" s="78" t="s">
        <v>72</v>
      </c>
      <c r="F21" s="78" t="s">
        <v>73</v>
      </c>
      <c r="G21" s="81"/>
      <c r="H21" s="81"/>
      <c r="I21" s="81"/>
      <c r="J21" s="78" t="s">
        <v>71</v>
      </c>
      <c r="K21" s="78" t="s">
        <v>71</v>
      </c>
      <c r="L21" s="78" t="s">
        <v>49</v>
      </c>
      <c r="M21" s="81"/>
      <c r="N21" s="81"/>
      <c r="O21" s="67"/>
      <c r="P21" s="81"/>
      <c r="Q21" s="81"/>
      <c r="R21" s="81"/>
      <c r="S21" s="67"/>
      <c r="T21" s="81"/>
      <c r="U21" s="81"/>
      <c r="V21" s="81"/>
      <c r="W21" s="67"/>
      <c r="X21" s="67"/>
      <c r="Y21" s="81"/>
      <c r="Z21" s="81"/>
      <c r="AA21" s="81"/>
      <c r="AB21" s="67"/>
      <c r="AC21" s="81"/>
      <c r="AD21" s="81"/>
      <c r="AE21" s="81"/>
      <c r="AF21" s="44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92"/>
      <c r="AS21" s="81"/>
    </row>
    <row r="22" spans="1:45" s="6" customFormat="1" ht="42.6" customHeight="1" x14ac:dyDescent="0.3">
      <c r="A22" s="86"/>
      <c r="B22" s="78" t="s">
        <v>74</v>
      </c>
      <c r="C22" s="81"/>
      <c r="D22" s="78" t="s">
        <v>71</v>
      </c>
      <c r="E22" s="78" t="s">
        <v>72</v>
      </c>
      <c r="F22" s="78" t="s">
        <v>73</v>
      </c>
      <c r="G22" s="81"/>
      <c r="H22" s="81"/>
      <c r="I22" s="81"/>
      <c r="J22" s="78" t="s">
        <v>71</v>
      </c>
      <c r="K22" s="78" t="s">
        <v>71</v>
      </c>
      <c r="L22" s="78" t="s">
        <v>49</v>
      </c>
      <c r="M22" s="81"/>
      <c r="N22" s="81"/>
      <c r="O22" s="67"/>
      <c r="P22" s="81"/>
      <c r="Q22" s="81"/>
      <c r="R22" s="81"/>
      <c r="S22" s="67"/>
      <c r="T22" s="81"/>
      <c r="U22" s="81"/>
      <c r="V22" s="81"/>
      <c r="W22" s="67"/>
      <c r="X22" s="67"/>
      <c r="Y22" s="81"/>
      <c r="Z22" s="81"/>
      <c r="AA22" s="81"/>
      <c r="AB22" s="67"/>
      <c r="AC22" s="81"/>
      <c r="AD22" s="81"/>
      <c r="AE22" s="81"/>
      <c r="AF22" s="44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92"/>
      <c r="AS22" s="81"/>
    </row>
    <row r="23" spans="1:45" s="6" customFormat="1" ht="98.4" customHeight="1" x14ac:dyDescent="0.3">
      <c r="A23" s="86"/>
      <c r="B23" s="78" t="s">
        <v>74</v>
      </c>
      <c r="C23" s="81"/>
      <c r="D23" s="78" t="s">
        <v>71</v>
      </c>
      <c r="E23" s="78" t="s">
        <v>72</v>
      </c>
      <c r="F23" s="78" t="s">
        <v>73</v>
      </c>
      <c r="G23" s="82"/>
      <c r="H23" s="82"/>
      <c r="I23" s="82"/>
      <c r="J23" s="79" t="s">
        <v>71</v>
      </c>
      <c r="K23" s="79" t="s">
        <v>71</v>
      </c>
      <c r="L23" s="79" t="s">
        <v>49</v>
      </c>
      <c r="M23" s="82"/>
      <c r="N23" s="82"/>
      <c r="O23" s="68" t="s">
        <v>42</v>
      </c>
      <c r="P23" s="82"/>
      <c r="Q23" s="82"/>
      <c r="R23" s="82"/>
      <c r="S23" s="68" t="s">
        <v>42</v>
      </c>
      <c r="T23" s="82"/>
      <c r="U23" s="82"/>
      <c r="V23" s="82"/>
      <c r="W23" s="68"/>
      <c r="X23" s="68"/>
      <c r="Y23" s="82"/>
      <c r="Z23" s="82"/>
      <c r="AA23" s="82"/>
      <c r="AB23" s="68"/>
      <c r="AC23" s="82"/>
      <c r="AD23" s="82"/>
      <c r="AE23" s="82"/>
      <c r="AF23" s="40"/>
      <c r="AG23" s="29" t="s">
        <v>142</v>
      </c>
      <c r="AH23" s="29" t="s">
        <v>143</v>
      </c>
      <c r="AI23" s="29" t="s">
        <v>75</v>
      </c>
      <c r="AJ23" s="29" t="s">
        <v>42</v>
      </c>
      <c r="AK23" s="29" t="s">
        <v>42</v>
      </c>
      <c r="AL23" s="29" t="s">
        <v>42</v>
      </c>
      <c r="AM23" s="29" t="s">
        <v>42</v>
      </c>
      <c r="AN23" s="29" t="s">
        <v>42</v>
      </c>
      <c r="AO23" s="29"/>
      <c r="AP23" s="29"/>
      <c r="AQ23" s="29" t="s">
        <v>42</v>
      </c>
      <c r="AR23" s="92"/>
      <c r="AS23" s="82"/>
    </row>
    <row r="24" spans="1:45" ht="14.4" customHeight="1" x14ac:dyDescent="0.3">
      <c r="A24" s="8"/>
      <c r="B24" s="79" t="s">
        <v>74</v>
      </c>
      <c r="C24" s="82"/>
      <c r="D24" s="79" t="s">
        <v>71</v>
      </c>
      <c r="E24" s="79" t="s">
        <v>72</v>
      </c>
      <c r="F24" s="79" t="s">
        <v>73</v>
      </c>
    </row>
    <row r="25" spans="1:45" s="6" customFormat="1" x14ac:dyDescent="0.3">
      <c r="AF25" s="41"/>
    </row>
    <row r="26" spans="1:45" x14ac:dyDescent="0.3">
      <c r="A26" s="30" t="s">
        <v>76</v>
      </c>
      <c r="AR26" s="24" t="s">
        <v>77</v>
      </c>
    </row>
    <row r="27" spans="1:45" s="6" customFormat="1" x14ac:dyDescent="0.3">
      <c r="A27" s="86" t="s">
        <v>78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45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10"/>
    </row>
    <row r="28" spans="1:45" s="6" customFormat="1" x14ac:dyDescent="0.3">
      <c r="A28" s="8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46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6"/>
    </row>
    <row r="29" spans="1:45" s="6" customFormat="1" ht="170.4" customHeight="1" x14ac:dyDescent="0.3">
      <c r="A29" s="8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46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20" t="s">
        <v>169</v>
      </c>
    </row>
    <row r="30" spans="1:45" s="6" customFormat="1" x14ac:dyDescent="0.3">
      <c r="A30" s="8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46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5"/>
    </row>
    <row r="31" spans="1:45" s="6" customFormat="1" ht="53.4" customHeight="1" x14ac:dyDescent="0.3">
      <c r="A31" s="8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47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5"/>
    </row>
    <row r="32" spans="1:45" x14ac:dyDescent="0.3">
      <c r="A32" s="8"/>
    </row>
    <row r="33" spans="1:47" s="6" customFormat="1" ht="14.4" customHeight="1" x14ac:dyDescent="0.3">
      <c r="A33" s="4" t="s">
        <v>79</v>
      </c>
      <c r="B33" s="6">
        <v>2854</v>
      </c>
      <c r="C33" s="76" t="s">
        <v>42</v>
      </c>
      <c r="D33" s="6">
        <v>1855</v>
      </c>
      <c r="E33" s="6">
        <v>1448</v>
      </c>
      <c r="F33" s="6">
        <v>620</v>
      </c>
      <c r="G33" s="6">
        <v>67</v>
      </c>
      <c r="H33" s="76" t="s">
        <v>42</v>
      </c>
      <c r="I33" s="76" t="s">
        <v>42</v>
      </c>
      <c r="J33" s="6">
        <v>826</v>
      </c>
      <c r="K33" s="6">
        <f>3303-826</f>
        <v>2477</v>
      </c>
      <c r="L33" s="6">
        <v>1667</v>
      </c>
      <c r="M33" s="76" t="s">
        <v>42</v>
      </c>
      <c r="N33" s="6">
        <v>107</v>
      </c>
      <c r="O33" s="6">
        <v>113</v>
      </c>
      <c r="P33" s="6">
        <v>1153</v>
      </c>
      <c r="Q33" s="6">
        <v>6</v>
      </c>
      <c r="R33" s="6">
        <v>1426</v>
      </c>
      <c r="S33" s="6">
        <v>0</v>
      </c>
      <c r="T33" s="6">
        <v>1145</v>
      </c>
      <c r="U33" s="6">
        <v>0</v>
      </c>
      <c r="V33" s="6">
        <v>0</v>
      </c>
      <c r="W33" s="10">
        <v>382</v>
      </c>
      <c r="X33" s="77" t="s">
        <v>80</v>
      </c>
      <c r="Y33" s="77" t="s">
        <v>80</v>
      </c>
      <c r="Z33" s="77" t="s">
        <v>80</v>
      </c>
      <c r="AA33" s="77" t="s">
        <v>80</v>
      </c>
      <c r="AB33" s="77" t="s">
        <v>80</v>
      </c>
      <c r="AC33" s="77" t="s">
        <v>80</v>
      </c>
      <c r="AD33" s="77" t="s">
        <v>80</v>
      </c>
      <c r="AE33" s="77" t="s">
        <v>80</v>
      </c>
      <c r="AF33" s="83" t="s">
        <v>81</v>
      </c>
      <c r="AG33" s="77" t="s">
        <v>82</v>
      </c>
      <c r="AH33" s="77" t="s">
        <v>82</v>
      </c>
      <c r="AI33" s="77" t="s">
        <v>82</v>
      </c>
      <c r="AJ33" s="77" t="s">
        <v>83</v>
      </c>
      <c r="AK33" s="77" t="s">
        <v>81</v>
      </c>
      <c r="AL33" s="77" t="s">
        <v>81</v>
      </c>
      <c r="AM33" s="77" t="s">
        <v>81</v>
      </c>
      <c r="AN33" s="77" t="s">
        <v>81</v>
      </c>
      <c r="AO33" s="77" t="s">
        <v>81</v>
      </c>
      <c r="AP33" s="77" t="s">
        <v>81</v>
      </c>
      <c r="AQ33" s="77" t="s">
        <v>81</v>
      </c>
      <c r="AR33" s="6">
        <v>1640</v>
      </c>
      <c r="AS33" s="6">
        <v>19</v>
      </c>
      <c r="AT33" s="6">
        <f>618+28</f>
        <v>646</v>
      </c>
    </row>
    <row r="34" spans="1:47" s="6" customFormat="1" x14ac:dyDescent="0.3">
      <c r="A34" s="4" t="s">
        <v>84</v>
      </c>
      <c r="B34" s="6">
        <v>2854</v>
      </c>
      <c r="C34" s="6">
        <v>82</v>
      </c>
      <c r="D34" s="6">
        <v>1855</v>
      </c>
      <c r="E34" s="6">
        <v>1448</v>
      </c>
      <c r="F34" s="6">
        <v>620</v>
      </c>
      <c r="G34" s="6">
        <v>67</v>
      </c>
      <c r="H34" s="6">
        <v>10</v>
      </c>
      <c r="I34" s="6">
        <v>29</v>
      </c>
      <c r="J34" s="6">
        <v>826</v>
      </c>
      <c r="K34" s="6">
        <v>2477</v>
      </c>
      <c r="L34" s="6">
        <v>1667</v>
      </c>
      <c r="M34" s="6">
        <v>113</v>
      </c>
      <c r="N34" s="6">
        <v>107</v>
      </c>
      <c r="O34" s="6">
        <v>113</v>
      </c>
      <c r="P34" s="6">
        <v>1153</v>
      </c>
      <c r="Q34" s="6">
        <v>6</v>
      </c>
      <c r="R34" s="6">
        <v>1426</v>
      </c>
      <c r="S34" s="6">
        <v>0</v>
      </c>
      <c r="T34" s="6">
        <v>1145</v>
      </c>
      <c r="U34" s="6">
        <v>0</v>
      </c>
      <c r="V34" s="6">
        <v>0</v>
      </c>
      <c r="W34" s="26">
        <v>382</v>
      </c>
      <c r="X34" s="78"/>
      <c r="Y34" s="78"/>
      <c r="Z34" s="78"/>
      <c r="AA34" s="78"/>
      <c r="AB34" s="78"/>
      <c r="AC34" s="78"/>
      <c r="AD34" s="78"/>
      <c r="AE34" s="78"/>
      <c r="AF34" s="84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6">
        <v>1640</v>
      </c>
      <c r="AS34" s="6">
        <v>19</v>
      </c>
      <c r="AT34" s="6">
        <v>646</v>
      </c>
    </row>
    <row r="35" spans="1:47" s="6" customFormat="1" x14ac:dyDescent="0.3">
      <c r="A35" s="4" t="s">
        <v>85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3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11">
        <v>0</v>
      </c>
      <c r="X35" s="79"/>
      <c r="Y35" s="79"/>
      <c r="Z35" s="79"/>
      <c r="AA35" s="79"/>
      <c r="AB35" s="79"/>
      <c r="AC35" s="79"/>
      <c r="AD35" s="79"/>
      <c r="AE35" s="79"/>
      <c r="AF35" s="85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6">
        <v>0</v>
      </c>
      <c r="AS35" s="6">
        <v>0</v>
      </c>
      <c r="AT35" s="6">
        <v>0</v>
      </c>
    </row>
    <row r="37" spans="1:47" s="6" customFormat="1" ht="50.4" customHeight="1" x14ac:dyDescent="0.3">
      <c r="A37" s="6" t="s">
        <v>86</v>
      </c>
      <c r="B37" s="19" t="s">
        <v>144</v>
      </c>
      <c r="C37" s="19" t="s">
        <v>144</v>
      </c>
      <c r="D37" s="19" t="s">
        <v>144</v>
      </c>
      <c r="E37" s="19" t="s">
        <v>144</v>
      </c>
      <c r="F37" s="19" t="s">
        <v>144</v>
      </c>
      <c r="G37" s="19" t="s">
        <v>144</v>
      </c>
      <c r="H37" s="19" t="s">
        <v>144</v>
      </c>
      <c r="I37" s="19" t="s">
        <v>144</v>
      </c>
      <c r="J37" s="19" t="s">
        <v>144</v>
      </c>
      <c r="K37" s="19" t="s">
        <v>144</v>
      </c>
      <c r="L37" s="19" t="s">
        <v>144</v>
      </c>
      <c r="M37" s="19" t="s">
        <v>144</v>
      </c>
      <c r="N37" s="19" t="s">
        <v>144</v>
      </c>
      <c r="O37" s="19" t="s">
        <v>144</v>
      </c>
      <c r="P37" s="19" t="s">
        <v>144</v>
      </c>
      <c r="Q37" s="19" t="s">
        <v>144</v>
      </c>
      <c r="R37" s="19" t="s">
        <v>144</v>
      </c>
      <c r="S37" s="19" t="s">
        <v>144</v>
      </c>
      <c r="T37" s="19" t="s">
        <v>144</v>
      </c>
      <c r="U37" s="19" t="s">
        <v>144</v>
      </c>
      <c r="V37" s="19" t="s">
        <v>144</v>
      </c>
      <c r="W37" s="19" t="s">
        <v>144</v>
      </c>
      <c r="X37" s="19" t="s">
        <v>144</v>
      </c>
      <c r="Y37" s="19" t="s">
        <v>144</v>
      </c>
      <c r="Z37" s="19" t="s">
        <v>144</v>
      </c>
      <c r="AA37" s="19" t="s">
        <v>144</v>
      </c>
      <c r="AB37" s="19" t="s">
        <v>144</v>
      </c>
      <c r="AC37" s="19" t="s">
        <v>144</v>
      </c>
      <c r="AD37" s="19" t="s">
        <v>144</v>
      </c>
      <c r="AE37" s="19" t="s">
        <v>144</v>
      </c>
      <c r="AF37" s="19" t="s">
        <v>144</v>
      </c>
      <c r="AG37" s="19" t="s">
        <v>144</v>
      </c>
      <c r="AH37" s="19" t="s">
        <v>144</v>
      </c>
      <c r="AI37" s="19" t="s">
        <v>144</v>
      </c>
      <c r="AJ37" s="19" t="s">
        <v>144</v>
      </c>
      <c r="AK37" s="19" t="s">
        <v>144</v>
      </c>
      <c r="AL37" s="19" t="s">
        <v>144</v>
      </c>
      <c r="AM37" s="19" t="s">
        <v>144</v>
      </c>
      <c r="AN37" s="19" t="s">
        <v>144</v>
      </c>
      <c r="AO37" s="19" t="s">
        <v>144</v>
      </c>
      <c r="AP37" s="19" t="s">
        <v>144</v>
      </c>
      <c r="AQ37" s="19" t="s">
        <v>144</v>
      </c>
      <c r="AR37" s="19" t="s">
        <v>144</v>
      </c>
      <c r="AS37" s="19" t="s">
        <v>144</v>
      </c>
      <c r="AT37" s="6" t="s">
        <v>87</v>
      </c>
      <c r="AU37" s="6" t="s">
        <v>42</v>
      </c>
    </row>
  </sheetData>
  <mergeCells count="53">
    <mergeCell ref="Y33:Y35"/>
    <mergeCell ref="AL33:AL35"/>
    <mergeCell ref="Q19:Q23"/>
    <mergeCell ref="N19:N23"/>
    <mergeCell ref="T19:T23"/>
    <mergeCell ref="AA33:AA35"/>
    <mergeCell ref="AE33:AE35"/>
    <mergeCell ref="AD33:AD35"/>
    <mergeCell ref="AC33:AC35"/>
    <mergeCell ref="Z33:Z35"/>
    <mergeCell ref="AB33:AB35"/>
    <mergeCell ref="X33:X35"/>
    <mergeCell ref="AT2:AU2"/>
    <mergeCell ref="AF2:AJ2"/>
    <mergeCell ref="AE19:AE23"/>
    <mergeCell ref="AR2:AS2"/>
    <mergeCell ref="Y2:AE2"/>
    <mergeCell ref="AR19:AR23"/>
    <mergeCell ref="A27:A31"/>
    <mergeCell ref="B19:B24"/>
    <mergeCell ref="C19:C24"/>
    <mergeCell ref="D19:D24"/>
    <mergeCell ref="E19:E24"/>
    <mergeCell ref="A19:A23"/>
    <mergeCell ref="F19:F24"/>
    <mergeCell ref="Y19:Y23"/>
    <mergeCell ref="Z19:Z23"/>
    <mergeCell ref="AA19:AA23"/>
    <mergeCell ref="R19:R23"/>
    <mergeCell ref="G19:G23"/>
    <mergeCell ref="H19:H23"/>
    <mergeCell ref="I19:I23"/>
    <mergeCell ref="M19:M23"/>
    <mergeCell ref="J19:J23"/>
    <mergeCell ref="K19:K23"/>
    <mergeCell ref="L19:L23"/>
    <mergeCell ref="U19:U23"/>
    <mergeCell ref="V19:V23"/>
    <mergeCell ref="P19:P23"/>
    <mergeCell ref="AQ33:AQ35"/>
    <mergeCell ref="AN33:AN35"/>
    <mergeCell ref="AS19:AS23"/>
    <mergeCell ref="AC19:AC23"/>
    <mergeCell ref="AD19:AD23"/>
    <mergeCell ref="AF33:AF35"/>
    <mergeCell ref="AG33:AG35"/>
    <mergeCell ref="AH33:AH35"/>
    <mergeCell ref="AI33:AI35"/>
    <mergeCell ref="AJ33:AJ35"/>
    <mergeCell ref="AM33:AM35"/>
    <mergeCell ref="AK33:AK35"/>
    <mergeCell ref="AO33:AO35"/>
    <mergeCell ref="AP33:AP35"/>
  </mergeCells>
  <pageMargins left="0.25" right="0.25" top="1.25" bottom="0.5" header="0.3" footer="0.3"/>
  <pageSetup scale="50" fitToWidth="0" orientation="portrait" r:id="rId1"/>
  <headerFooter>
    <oddHeader xml:space="preserve">&amp;CBig Sandy Area Development District
FY 2024
KRS 147a.115 Report
</oddHeader>
  </headerFooter>
  <colBreaks count="6" manualBreakCount="6">
    <brk id="11" max="1048575" man="1"/>
    <brk id="16" max="1048575" man="1"/>
    <brk id="24" max="36" man="1"/>
    <brk id="28" max="36" man="1"/>
    <brk id="33" max="36" man="1"/>
    <brk id="43" max="36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A3F1C-578C-4BF3-8DC1-C9726707DABD}">
  <dimension ref="A1:E14"/>
  <sheetViews>
    <sheetView workbookViewId="0">
      <selection activeCell="E11" sqref="E11"/>
    </sheetView>
  </sheetViews>
  <sheetFormatPr defaultRowHeight="14.4" x14ac:dyDescent="0.3"/>
  <cols>
    <col min="1" max="1" width="36.5546875" bestFit="1" customWidth="1"/>
    <col min="3" max="3" width="13.109375" bestFit="1" customWidth="1"/>
    <col min="5" max="5" width="47.6640625" bestFit="1" customWidth="1"/>
  </cols>
  <sheetData>
    <row r="1" spans="1:5" x14ac:dyDescent="0.3">
      <c r="A1" s="94" t="s">
        <v>115</v>
      </c>
      <c r="B1" s="94"/>
      <c r="C1" s="94"/>
      <c r="D1" s="94"/>
      <c r="E1" s="94"/>
    </row>
    <row r="2" spans="1:5" x14ac:dyDescent="0.3">
      <c r="A2" s="48"/>
      <c r="B2" s="93"/>
      <c r="C2" s="93"/>
      <c r="D2" s="93"/>
      <c r="E2" s="93"/>
    </row>
    <row r="3" spans="1:5" x14ac:dyDescent="0.3">
      <c r="A3" s="49" t="s">
        <v>170</v>
      </c>
      <c r="B3" s="95"/>
      <c r="C3" s="95"/>
      <c r="D3" s="93"/>
      <c r="E3" s="93"/>
    </row>
    <row r="4" spans="1:5" x14ac:dyDescent="0.3">
      <c r="A4" s="48"/>
      <c r="B4" s="93"/>
      <c r="C4" s="93"/>
      <c r="D4" s="93"/>
      <c r="E4" s="93"/>
    </row>
    <row r="5" spans="1:5" x14ac:dyDescent="0.3">
      <c r="A5" s="49" t="s">
        <v>116</v>
      </c>
      <c r="B5" s="49"/>
      <c r="C5" s="49" t="s">
        <v>117</v>
      </c>
      <c r="D5" s="49"/>
      <c r="E5" s="49" t="s">
        <v>118</v>
      </c>
    </row>
    <row r="6" spans="1:5" x14ac:dyDescent="0.3">
      <c r="A6" s="50"/>
      <c r="B6" s="50"/>
      <c r="C6" s="51"/>
      <c r="D6" s="50"/>
      <c r="E6" s="50"/>
    </row>
    <row r="7" spans="1:5" x14ac:dyDescent="0.3">
      <c r="A7" s="50"/>
      <c r="B7" s="50"/>
      <c r="C7" s="52"/>
      <c r="D7" s="50"/>
      <c r="E7" s="53"/>
    </row>
    <row r="8" spans="1:5" x14ac:dyDescent="0.3">
      <c r="A8" s="50" t="s">
        <v>119</v>
      </c>
      <c r="B8" s="50"/>
      <c r="C8" s="52">
        <f>23+194+137+26+1283</f>
        <v>1663</v>
      </c>
      <c r="D8" s="50"/>
      <c r="E8" s="54" t="s">
        <v>171</v>
      </c>
    </row>
    <row r="9" spans="1:5" ht="47.4" customHeight="1" x14ac:dyDescent="0.3">
      <c r="A9" s="60" t="s">
        <v>120</v>
      </c>
      <c r="B9" s="55"/>
      <c r="C9" s="62">
        <f>1900142+691</f>
        <v>1900833</v>
      </c>
      <c r="D9" s="55"/>
      <c r="E9" s="64" t="s">
        <v>172</v>
      </c>
    </row>
    <row r="10" spans="1:5" ht="43.2" x14ac:dyDescent="0.3">
      <c r="A10" s="61" t="s">
        <v>30</v>
      </c>
      <c r="B10" s="56"/>
      <c r="C10" s="63">
        <v>66829</v>
      </c>
      <c r="D10" s="56"/>
      <c r="E10" s="65" t="s">
        <v>173</v>
      </c>
    </row>
    <row r="11" spans="1:5" x14ac:dyDescent="0.3">
      <c r="A11" s="50"/>
      <c r="B11" s="50"/>
      <c r="C11" s="57"/>
      <c r="D11" s="50"/>
      <c r="E11" s="54"/>
    </row>
    <row r="12" spans="1:5" ht="15" thickBot="1" x14ac:dyDescent="0.35">
      <c r="A12" s="48"/>
      <c r="B12" s="48"/>
      <c r="C12" s="58">
        <f>SUM(C7:C11)</f>
        <v>1969325</v>
      </c>
      <c r="D12" s="96"/>
      <c r="E12" s="96"/>
    </row>
    <row r="13" spans="1:5" ht="15" thickTop="1" x14ac:dyDescent="0.3">
      <c r="A13" s="48"/>
      <c r="B13" s="93"/>
      <c r="C13" s="93"/>
      <c r="D13" s="93"/>
      <c r="E13" s="93"/>
    </row>
    <row r="14" spans="1:5" x14ac:dyDescent="0.3">
      <c r="A14" s="48"/>
      <c r="B14" s="93"/>
      <c r="C14" s="93"/>
      <c r="D14" s="93"/>
      <c r="E14" s="93"/>
    </row>
  </sheetData>
  <mergeCells count="12">
    <mergeCell ref="B14:C14"/>
    <mergeCell ref="D14:E14"/>
    <mergeCell ref="D12:E12"/>
    <mergeCell ref="B13:C13"/>
    <mergeCell ref="D13:E13"/>
    <mergeCell ref="B4:C4"/>
    <mergeCell ref="D4:E4"/>
    <mergeCell ref="A1:E1"/>
    <mergeCell ref="B2:C2"/>
    <mergeCell ref="D2:E2"/>
    <mergeCell ref="B3:C3"/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Overall</vt:lpstr>
      <vt:lpstr>Carryover (Reserves)</vt:lpstr>
      <vt:lpstr>Overall!Print_Area</vt:lpstr>
      <vt:lpstr>Overall!Print_Titles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Alisha</dc:creator>
  <cp:keywords/>
  <dc:description/>
  <cp:lastModifiedBy>Greg Salyers</cp:lastModifiedBy>
  <cp:revision/>
  <cp:lastPrinted>2024-12-20T17:07:26Z</cp:lastPrinted>
  <dcterms:created xsi:type="dcterms:W3CDTF">2017-11-26T03:23:39Z</dcterms:created>
  <dcterms:modified xsi:type="dcterms:W3CDTF">2025-12-30T14:25:39Z</dcterms:modified>
  <cp:category/>
  <cp:contentStatus/>
</cp:coreProperties>
</file>